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66925"/>
  <mc:AlternateContent xmlns:mc="http://schemas.openxmlformats.org/markup-compatibility/2006">
    <mc:Choice Requires="x15">
      <x15ac:absPath xmlns:x15ac="http://schemas.microsoft.com/office/spreadsheetml/2010/11/ac" url="https://hlag-my.sharepoint.com/personal/semih_orcen_hlag_com/Documents/Desktop/"/>
    </mc:Choice>
  </mc:AlternateContent>
  <xr:revisionPtr revIDLastSave="3" documentId="8_{E86FA533-4034-4E39-BDB9-22F851E50484}" xr6:coauthVersionLast="47" xr6:coauthVersionMax="47" xr10:uidLastSave="{035D34CD-FFE8-48B5-A8D3-301EE9B6D43C}"/>
  <workbookProtection workbookAlgorithmName="SHA-512" workbookHashValue="f74e1qOd4tPW907nzGJMTHtLUVIIi3Zpawf8xUrCwgFQyvWbe/vo+DphTJ0x/1dltuUukG4X0F4ivDReNZH3gA==" workbookSaltValue="Fy4dP+KUi95zeLqz6Rdk5g==" workbookSpinCount="100000" lockStructure="1"/>
  <bookViews>
    <workbookView xWindow="-120" yWindow="-120" windowWidth="29040" windowHeight="15840" tabRatio="804" xr2:uid="{00000000-000D-0000-FFFF-FFFF00000000}"/>
  </bookViews>
  <sheets>
    <sheet name="Main" sheetId="5" r:id="rId1"/>
    <sheet name="Sheet1" sheetId="7" state="hidden" r:id="rId2"/>
    <sheet name="DD Calculator Europe" sheetId="1" r:id="rId3"/>
    <sheet name="Tariffs" sheetId="4" state="hidden" r:id="rId4"/>
    <sheet name="DD Calculator (Morocco)" sheetId="19" r:id="rId5"/>
    <sheet name="ADFT Tariffs" sheetId="6" state="hidden" r:id="rId6"/>
    <sheet name="Storage Tariffs (Morocco)" sheetId="18" state="hidden" r:id="rId7"/>
    <sheet name="DD Calculator Italy-East Hemis." sheetId="8" r:id="rId8"/>
    <sheet name="DD Calculator Italy-West Hemis." sheetId="14" r:id="rId9"/>
    <sheet name="DD Calculator(Iberia)" sheetId="12" r:id="rId10"/>
    <sheet name="DD Calculator (Egypt)" sheetId="20" state="hidden" r:id="rId11"/>
    <sheet name="Storage Tariffs (East)" sheetId="10" state="hidden" r:id="rId12"/>
    <sheet name="Storage Tariffs (West)" sheetId="15" state="hidden" r:id="rId13"/>
    <sheet name="Storage Tariffs (Iberia)" sheetId="13" state="hidden" r:id="rId14"/>
  </sheets>
  <definedNames>
    <definedName name="_xlnm._FilterDatabase" localSheetId="5" hidden="1">'ADFT Tariffs'!$A$1:$D$1</definedName>
    <definedName name="_xlnm._FilterDatabase" localSheetId="11" hidden="1">'Storage Tariffs (East)'!$A$2:$N$39</definedName>
    <definedName name="_xlnm._FilterDatabase" localSheetId="13" hidden="1">'Storage Tariffs (Iberia)'!$A$2:$N$2</definedName>
    <definedName name="_xlnm._FilterDatabase" localSheetId="12" hidden="1">'Storage Tariffs (West)'!$A$2:$N$39</definedName>
    <definedName name="_xlnm._FilterDatabase" localSheetId="3" hidden="1">Tariffs!$A$2:$T$2</definedName>
    <definedName name="FALSE_Egypt">Sheet1!$E$18</definedName>
    <definedName name="FALSE_Europe">Sheet1!$A$6</definedName>
    <definedName name="FALSE_Iberia">Sheet1!$G$6</definedName>
    <definedName name="FALSE_ItalyEast">Sheet1!$C$6</definedName>
    <definedName name="FALSE_ItalyWest">Sheet1!$E$6</definedName>
    <definedName name="FALSE_Morocco">Sheet1!$C$18</definedName>
    <definedName name="PictureEUR">INDIRECT(Main!$G$43)</definedName>
    <definedName name="PictureIBE">INDIRECT(Main!$M$43)</definedName>
    <definedName name="PictureITAe">INDIRECT(Main!$I$43)</definedName>
    <definedName name="PictureITAw">INDIRECT(Main!$K$43)</definedName>
    <definedName name="PictureMor">INDIRECT(Main!$O$43)</definedName>
    <definedName name="PictureSEG">INDIRECT(Main!$Q$43)</definedName>
    <definedName name="TRUE_Egypt">Sheet1!$E$12</definedName>
    <definedName name="TRUE_Europe">Sheet1!$A$1</definedName>
    <definedName name="TRUE_Iberia">Sheet1!$G$1</definedName>
    <definedName name="TRUE_ItalyEast">Sheet1!$C$1</definedName>
    <definedName name="TRUE_ItalyWest">Sheet1!$E$1</definedName>
    <definedName name="TRUE_Morocco">Sheet1!$C$12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0" i="19" l="1"/>
  <c r="J29" i="19"/>
  <c r="J40" i="19"/>
  <c r="I13" i="19"/>
  <c r="F32" i="19"/>
  <c r="B33" i="1"/>
  <c r="D31" i="19"/>
  <c r="D40" i="19" s="1"/>
  <c r="I10" i="19"/>
  <c r="D13" i="19"/>
  <c r="E56" i="19"/>
  <c r="F56" i="19"/>
  <c r="G56" i="19"/>
  <c r="H56" i="19"/>
  <c r="I56" i="19"/>
  <c r="J56" i="19"/>
  <c r="K56" i="19"/>
  <c r="L56" i="19"/>
  <c r="M56" i="19"/>
  <c r="N56" i="19"/>
  <c r="O56" i="19"/>
  <c r="P56" i="19"/>
  <c r="Q56" i="19"/>
  <c r="R56" i="19"/>
  <c r="S56" i="19"/>
  <c r="T56" i="19"/>
  <c r="U56" i="19"/>
  <c r="E57" i="19"/>
  <c r="E48" i="19" s="1"/>
  <c r="J10" i="19" s="1"/>
  <c r="J14" i="19" s="1"/>
  <c r="F57" i="19"/>
  <c r="G57" i="19"/>
  <c r="H57" i="19"/>
  <c r="I57" i="19"/>
  <c r="J57" i="19"/>
  <c r="K57" i="19"/>
  <c r="L57" i="19"/>
  <c r="M57" i="19"/>
  <c r="N57" i="19"/>
  <c r="O57" i="19"/>
  <c r="P57" i="19"/>
  <c r="Q57" i="19"/>
  <c r="R57" i="19"/>
  <c r="S57" i="19"/>
  <c r="T57" i="19"/>
  <c r="U57" i="19"/>
  <c r="E58" i="19"/>
  <c r="F58" i="19"/>
  <c r="G58" i="19"/>
  <c r="H58" i="19"/>
  <c r="I58" i="19"/>
  <c r="J58" i="19"/>
  <c r="K58" i="19"/>
  <c r="L58" i="19"/>
  <c r="M58" i="19"/>
  <c r="N58" i="19"/>
  <c r="O58" i="19"/>
  <c r="P58" i="19"/>
  <c r="Q58" i="19"/>
  <c r="R58" i="19"/>
  <c r="S58" i="19"/>
  <c r="T58" i="19"/>
  <c r="U58" i="19"/>
  <c r="E59" i="19"/>
  <c r="F59" i="19"/>
  <c r="G59" i="19"/>
  <c r="H59" i="19"/>
  <c r="I59" i="19"/>
  <c r="J59" i="19"/>
  <c r="K59" i="19"/>
  <c r="L59" i="19"/>
  <c r="M59" i="19"/>
  <c r="N59" i="19"/>
  <c r="O59" i="19"/>
  <c r="P59" i="19"/>
  <c r="Q59" i="19"/>
  <c r="R59" i="19"/>
  <c r="S59" i="19"/>
  <c r="T59" i="19"/>
  <c r="U59" i="19"/>
  <c r="E60" i="19"/>
  <c r="F60" i="19"/>
  <c r="G60" i="19"/>
  <c r="H60" i="19"/>
  <c r="I60" i="19"/>
  <c r="J60" i="19"/>
  <c r="K60" i="19"/>
  <c r="L60" i="19"/>
  <c r="M60" i="19"/>
  <c r="N60" i="19"/>
  <c r="O60" i="19"/>
  <c r="P60" i="19"/>
  <c r="Q60" i="19"/>
  <c r="R60" i="19"/>
  <c r="S60" i="19"/>
  <c r="T60" i="19"/>
  <c r="U60" i="19"/>
  <c r="D60" i="19"/>
  <c r="G51" i="19" s="1"/>
  <c r="D59" i="19"/>
  <c r="F51" i="19" s="1"/>
  <c r="D58" i="19"/>
  <c r="E51" i="19" s="1"/>
  <c r="D57" i="19"/>
  <c r="D51" i="19" s="1"/>
  <c r="D56" i="19"/>
  <c r="C51" i="19" s="1"/>
  <c r="D14" i="19" s="1"/>
  <c r="Q43" i="5"/>
  <c r="I24" i="20"/>
  <c r="H24" i="20"/>
  <c r="G24" i="20"/>
  <c r="B22" i="20"/>
  <c r="D26" i="20" s="1"/>
  <c r="C19" i="20"/>
  <c r="F11" i="20"/>
  <c r="C10" i="20"/>
  <c r="I7" i="20"/>
  <c r="O43" i="5"/>
  <c r="I14" i="19" l="1"/>
  <c r="E52" i="19"/>
  <c r="D52" i="19"/>
  <c r="C52" i="19" a="1"/>
  <c r="C52" i="19" s="1"/>
  <c r="G52" i="19"/>
  <c r="F52" i="19"/>
  <c r="J9" i="19"/>
  <c r="E49" i="19"/>
  <c r="G26" i="20"/>
  <c r="G29" i="20" s="1"/>
  <c r="H26" i="20"/>
  <c r="H29" i="20" s="1"/>
  <c r="I26" i="20"/>
  <c r="I29" i="20" s="1"/>
  <c r="C27" i="20" a="1"/>
  <c r="C27" i="20" s="1"/>
  <c r="D27" i="20" a="1"/>
  <c r="D27" i="20" s="1"/>
  <c r="C26" i="20"/>
  <c r="C11" i="20" s="1"/>
  <c r="C14" i="20" s="1"/>
  <c r="C15" i="20" s="1"/>
  <c r="M35" i="19"/>
  <c r="L35" i="19"/>
  <c r="K35" i="19"/>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3" i="18"/>
  <c r="C43" i="19"/>
  <c r="E36" i="1"/>
  <c r="C31" i="1" s="1"/>
  <c r="R38" i="1"/>
  <c r="D35" i="1"/>
  <c r="E35" i="1"/>
  <c r="F35" i="1"/>
  <c r="G35" i="1"/>
  <c r="H35" i="1"/>
  <c r="I35" i="1"/>
  <c r="J35" i="1"/>
  <c r="K35" i="1"/>
  <c r="L35" i="1"/>
  <c r="M35" i="1"/>
  <c r="N35" i="1"/>
  <c r="O35" i="1"/>
  <c r="P35" i="1"/>
  <c r="Q35" i="1"/>
  <c r="R35" i="1"/>
  <c r="S35" i="1"/>
  <c r="T35" i="1"/>
  <c r="D36" i="1"/>
  <c r="F36" i="1"/>
  <c r="G36" i="1"/>
  <c r="H36" i="1"/>
  <c r="I36" i="1"/>
  <c r="J36" i="1"/>
  <c r="K36" i="1"/>
  <c r="L36" i="1"/>
  <c r="M36" i="1"/>
  <c r="N36" i="1"/>
  <c r="O36" i="1"/>
  <c r="P36" i="1"/>
  <c r="Q36" i="1"/>
  <c r="R36" i="1"/>
  <c r="S36" i="1"/>
  <c r="T36" i="1"/>
  <c r="D37" i="1"/>
  <c r="E37" i="1"/>
  <c r="D31" i="1" s="1"/>
  <c r="F37" i="1"/>
  <c r="G37" i="1"/>
  <c r="H37" i="1"/>
  <c r="I37" i="1"/>
  <c r="J37" i="1"/>
  <c r="K37" i="1"/>
  <c r="L37" i="1"/>
  <c r="M37" i="1"/>
  <c r="N37" i="1"/>
  <c r="O37" i="1"/>
  <c r="P37" i="1"/>
  <c r="Q37" i="1"/>
  <c r="R37" i="1"/>
  <c r="S37" i="1"/>
  <c r="T37" i="1"/>
  <c r="D38" i="1"/>
  <c r="E38" i="1"/>
  <c r="E31" i="1" s="1"/>
  <c r="F38" i="1"/>
  <c r="G38" i="1"/>
  <c r="H38" i="1"/>
  <c r="I38" i="1"/>
  <c r="J38" i="1"/>
  <c r="K38" i="1"/>
  <c r="L38" i="1"/>
  <c r="M38" i="1"/>
  <c r="N38" i="1"/>
  <c r="O38" i="1"/>
  <c r="P38" i="1"/>
  <c r="Q38" i="1"/>
  <c r="S38" i="1"/>
  <c r="T38" i="1"/>
  <c r="D39" i="1"/>
  <c r="F39" i="1"/>
  <c r="G39" i="1"/>
  <c r="I39" i="1"/>
  <c r="J39" i="1"/>
  <c r="L39" i="1"/>
  <c r="M39" i="1"/>
  <c r="O39" i="1"/>
  <c r="P39" i="1"/>
  <c r="R39" i="1"/>
  <c r="S39" i="1"/>
  <c r="C38" i="1"/>
  <c r="E30" i="1" s="1"/>
  <c r="C39" i="1"/>
  <c r="F30" i="1" s="1"/>
  <c r="C37" i="1"/>
  <c r="D30" i="1" s="1"/>
  <c r="C36" i="1"/>
  <c r="C30" i="1" s="1"/>
  <c r="C35" i="1"/>
  <c r="B30" i="1" s="1"/>
  <c r="L22" i="8"/>
  <c r="L22" i="14"/>
  <c r="L23" i="14" s="1"/>
  <c r="L21" i="12"/>
  <c r="L22" i="12" s="1"/>
  <c r="C13" i="1"/>
  <c r="C40" i="8"/>
  <c r="G17" i="8"/>
  <c r="G11" i="8"/>
  <c r="C40" i="14"/>
  <c r="G17" i="12"/>
  <c r="G11" i="12"/>
  <c r="G15" i="14"/>
  <c r="G17" i="14"/>
  <c r="G11" i="14"/>
  <c r="G49" i="19" l="1"/>
  <c r="D48" i="19" s="1"/>
  <c r="I9" i="19" s="1"/>
  <c r="T39" i="1"/>
  <c r="K39" i="1"/>
  <c r="Q39" i="1"/>
  <c r="H39" i="1"/>
  <c r="N39" i="1"/>
  <c r="B31" i="1" a="1"/>
  <c r="B31" i="1" s="1"/>
  <c r="E39" i="1"/>
  <c r="F31" i="1" s="1"/>
  <c r="F49" i="19"/>
  <c r="F13" i="19"/>
  <c r="D49" i="19"/>
  <c r="H38" i="19" a="1"/>
  <c r="H38" i="19" s="1"/>
  <c r="H37" i="19"/>
  <c r="G38" i="19" a="1"/>
  <c r="G38" i="19" s="1"/>
  <c r="G37" i="19"/>
  <c r="D28" i="20" a="1"/>
  <c r="D28" i="20" s="1"/>
  <c r="C28" i="20" a="1"/>
  <c r="C28" i="20" s="1"/>
  <c r="E28" i="20"/>
  <c r="E27" i="20"/>
  <c r="F27" i="20" s="1"/>
  <c r="F7" i="20"/>
  <c r="M37" i="19"/>
  <c r="M40" i="19" s="1"/>
  <c r="J27" i="19" s="1"/>
  <c r="L37" i="19"/>
  <c r="L40" i="19" s="1"/>
  <c r="J26" i="19" s="1"/>
  <c r="K37" i="19"/>
  <c r="F28" i="1"/>
  <c r="G22" i="12"/>
  <c r="L16" i="12"/>
  <c r="K40" i="19" l="1"/>
  <c r="J25" i="19" s="1"/>
  <c r="H39" i="19" a="1"/>
  <c r="H39" i="19" s="1"/>
  <c r="G39" i="19" a="1"/>
  <c r="G39" i="19" s="1"/>
  <c r="K27" i="20"/>
  <c r="J27" i="20"/>
  <c r="F28" i="20"/>
  <c r="I39" i="19"/>
  <c r="I38" i="19"/>
  <c r="D32" i="19"/>
  <c r="D35" i="19" s="1"/>
  <c r="O70" i="14"/>
  <c r="N70" i="14"/>
  <c r="M70" i="14"/>
  <c r="L70" i="14"/>
  <c r="K70" i="14"/>
  <c r="J70" i="14"/>
  <c r="I70" i="14"/>
  <c r="H70" i="14"/>
  <c r="G70" i="14"/>
  <c r="F70" i="14"/>
  <c r="E70" i="14"/>
  <c r="D70" i="14"/>
  <c r="C70" i="14" a="1"/>
  <c r="C70" i="14" s="1"/>
  <c r="O69" i="14"/>
  <c r="N69" i="14"/>
  <c r="M69" i="14"/>
  <c r="L69" i="14"/>
  <c r="K69" i="14"/>
  <c r="J69" i="14"/>
  <c r="I69" i="14"/>
  <c r="H69" i="14"/>
  <c r="G69" i="14"/>
  <c r="F69" i="14"/>
  <c r="E69" i="14"/>
  <c r="D69" i="14"/>
  <c r="C65" i="14" a="1"/>
  <c r="C65" i="14" s="1"/>
  <c r="C64" i="14" a="1"/>
  <c r="C64" i="14" s="1"/>
  <c r="C63" i="14" a="1"/>
  <c r="C63" i="14" s="1"/>
  <c r="C62" i="14" a="1"/>
  <c r="C62" i="14" s="1"/>
  <c r="C61" i="14" a="1"/>
  <c r="C61" i="14" s="1"/>
  <c r="C60" i="14"/>
  <c r="O60" i="14" s="1"/>
  <c r="C58" i="14"/>
  <c r="O56" i="14"/>
  <c r="N56" i="14"/>
  <c r="M56" i="14"/>
  <c r="L56" i="14"/>
  <c r="K56" i="14"/>
  <c r="J56" i="14"/>
  <c r="I56" i="14"/>
  <c r="H56" i="14"/>
  <c r="F56" i="14"/>
  <c r="E56" i="14"/>
  <c r="O55" i="14"/>
  <c r="N55" i="14"/>
  <c r="M55" i="14"/>
  <c r="L55" i="14"/>
  <c r="K55" i="14"/>
  <c r="J55" i="14"/>
  <c r="I55" i="14"/>
  <c r="H55" i="14"/>
  <c r="G55" i="14"/>
  <c r="F55" i="14"/>
  <c r="E55" i="14"/>
  <c r="D55" i="14"/>
  <c r="C55" i="14"/>
  <c r="O54" i="14"/>
  <c r="N54" i="14"/>
  <c r="M54" i="14"/>
  <c r="L54" i="14"/>
  <c r="K54" i="14"/>
  <c r="J54" i="14"/>
  <c r="I54" i="14"/>
  <c r="H54" i="14"/>
  <c r="G54" i="14"/>
  <c r="F54" i="14"/>
  <c r="D41" i="14" s="1" a="1"/>
  <c r="D41" i="14" s="1"/>
  <c r="E54" i="14"/>
  <c r="D54" i="14"/>
  <c r="C54" i="14"/>
  <c r="O53" i="14"/>
  <c r="N53" i="14"/>
  <c r="M53" i="14"/>
  <c r="L53" i="14"/>
  <c r="K53" i="14"/>
  <c r="J53" i="14"/>
  <c r="I53" i="14"/>
  <c r="H53" i="14"/>
  <c r="G53" i="14"/>
  <c r="F53" i="14"/>
  <c r="E53" i="14"/>
  <c r="D53" i="14"/>
  <c r="C53" i="14"/>
  <c r="C49" i="14"/>
  <c r="F47" i="14" a="1"/>
  <c r="F47" i="14" s="1"/>
  <c r="E47" i="14" a="1"/>
  <c r="E47" i="14" s="1"/>
  <c r="D47" i="14" a="1"/>
  <c r="D47" i="14" s="1"/>
  <c r="C47" i="14" a="1"/>
  <c r="C47" i="14" s="1"/>
  <c r="F46" i="14"/>
  <c r="E46" i="14"/>
  <c r="D46" i="14"/>
  <c r="C46" i="14"/>
  <c r="J24" i="14" s="1"/>
  <c r="J23" i="14" s="1"/>
  <c r="N17" i="14" s="1"/>
  <c r="F41" i="14" a="1"/>
  <c r="F41" i="14" s="1"/>
  <c r="E41" i="14" a="1"/>
  <c r="E41" i="14" s="1"/>
  <c r="C41" i="14" a="1"/>
  <c r="C41" i="14" s="1"/>
  <c r="F40" i="14"/>
  <c r="E40" i="14"/>
  <c r="D40" i="14"/>
  <c r="J18" i="14"/>
  <c r="J17" i="14" s="1"/>
  <c r="G21" i="14"/>
  <c r="G23" i="14" s="1"/>
  <c r="G16" i="14"/>
  <c r="H3" i="6"/>
  <c r="H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I36" i="6"/>
  <c r="C70" i="8" a="1"/>
  <c r="C70" i="8" s="1"/>
  <c r="L17" i="14" l="1"/>
  <c r="J38" i="19"/>
  <c r="D36" i="19"/>
  <c r="K28" i="20"/>
  <c r="K29" i="20" s="1"/>
  <c r="I8" i="20" s="1"/>
  <c r="J28" i="20"/>
  <c r="J29" i="20" s="1"/>
  <c r="I4" i="20" s="1"/>
  <c r="F29" i="20"/>
  <c r="I3" i="20" s="1"/>
  <c r="J39" i="19"/>
  <c r="E37" i="14"/>
  <c r="J22" i="14" s="1"/>
  <c r="J21" i="14"/>
  <c r="M63" i="14"/>
  <c r="O63" i="14"/>
  <c r="N63" i="14"/>
  <c r="H63" i="14"/>
  <c r="G63" i="14"/>
  <c r="F63" i="14"/>
  <c r="F35" i="14" s="1"/>
  <c r="H60" i="14"/>
  <c r="I60" i="14"/>
  <c r="J60" i="14"/>
  <c r="G38" i="14"/>
  <c r="I44" i="14"/>
  <c r="G44" i="14"/>
  <c r="D43" i="14" s="1"/>
  <c r="L21" i="14"/>
  <c r="F44" i="14"/>
  <c r="F38" i="14"/>
  <c r="I61" i="14"/>
  <c r="H61" i="14"/>
  <c r="O61" i="14"/>
  <c r="G61" i="14"/>
  <c r="N61" i="14"/>
  <c r="F61" i="14"/>
  <c r="D35" i="14" s="1"/>
  <c r="M61" i="14"/>
  <c r="E61" i="14"/>
  <c r="L61" i="14"/>
  <c r="D61" i="14"/>
  <c r="D34" i="14" s="1"/>
  <c r="K61" i="14"/>
  <c r="J61" i="14"/>
  <c r="K62" i="14"/>
  <c r="J62" i="14"/>
  <c r="I62" i="14"/>
  <c r="H62" i="14"/>
  <c r="O62" i="14"/>
  <c r="G62" i="14"/>
  <c r="N62" i="14"/>
  <c r="F62" i="14"/>
  <c r="E35" i="14" s="1"/>
  <c r="M62" i="14"/>
  <c r="E62" i="14"/>
  <c r="L62" i="14"/>
  <c r="D62" i="14"/>
  <c r="O64" i="14"/>
  <c r="G64" i="14"/>
  <c r="N64" i="14"/>
  <c r="F64" i="14"/>
  <c r="M64" i="14"/>
  <c r="E64" i="14"/>
  <c r="L64" i="14"/>
  <c r="D64" i="14"/>
  <c r="G34" i="14" s="1"/>
  <c r="K64" i="14"/>
  <c r="J64" i="14"/>
  <c r="I64" i="14"/>
  <c r="H64" i="14"/>
  <c r="I65" i="14"/>
  <c r="J65" i="14"/>
  <c r="H65" i="14"/>
  <c r="O65" i="14"/>
  <c r="G65" i="14"/>
  <c r="N65" i="14"/>
  <c r="F65" i="14"/>
  <c r="H35" i="14" s="1"/>
  <c r="M65" i="14"/>
  <c r="E65" i="14"/>
  <c r="L65" i="14"/>
  <c r="D65" i="14"/>
  <c r="H34" i="14" s="1"/>
  <c r="K65" i="14"/>
  <c r="G35" i="14"/>
  <c r="K60" i="14"/>
  <c r="I63" i="14"/>
  <c r="D60" i="14"/>
  <c r="L60" i="14"/>
  <c r="J63" i="14"/>
  <c r="E43" i="14"/>
  <c r="E60" i="14"/>
  <c r="M60" i="14"/>
  <c r="K63" i="14"/>
  <c r="F60" i="14"/>
  <c r="C35" i="14" s="1"/>
  <c r="N60" i="14"/>
  <c r="D63" i="14"/>
  <c r="F34" i="14" s="1"/>
  <c r="L63" i="14"/>
  <c r="E34" i="14"/>
  <c r="G60" i="14"/>
  <c r="C34" i="14" s="1"/>
  <c r="J12" i="14" s="1"/>
  <c r="J11" i="14" s="1"/>
  <c r="E63" i="14"/>
  <c r="K43" i="5"/>
  <c r="I43" i="5"/>
  <c r="M43" i="5"/>
  <c r="G43" i="5"/>
  <c r="C67" i="12" a="1"/>
  <c r="C67" i="12" s="1"/>
  <c r="C64" i="12"/>
  <c r="U67" i="12" s="1"/>
  <c r="C62" i="12" a="1"/>
  <c r="C62" i="12" s="1"/>
  <c r="C61" i="12" a="1"/>
  <c r="C61" i="12" s="1"/>
  <c r="C60" i="12" a="1"/>
  <c r="C60" i="12" s="1"/>
  <c r="C59" i="12" a="1"/>
  <c r="C59" i="12" s="1"/>
  <c r="C58" i="12" a="1"/>
  <c r="C58" i="12" s="1"/>
  <c r="C57" i="12"/>
  <c r="C55" i="12"/>
  <c r="C48" i="12"/>
  <c r="S50" i="12" s="1"/>
  <c r="C46" i="12"/>
  <c r="G21" i="12"/>
  <c r="G15" i="12"/>
  <c r="G23" i="12" s="1"/>
  <c r="E38" i="14" l="1"/>
  <c r="E44" i="14"/>
  <c r="J24" i="19"/>
  <c r="N38" i="19"/>
  <c r="H49" i="19"/>
  <c r="N39" i="19"/>
  <c r="J15" i="14"/>
  <c r="J10" i="14"/>
  <c r="J9" i="14"/>
  <c r="J16" i="14"/>
  <c r="O13" i="14"/>
  <c r="H44" i="14"/>
  <c r="I22" i="14"/>
  <c r="I21" i="14"/>
  <c r="D37" i="14"/>
  <c r="I16" i="14"/>
  <c r="I15" i="14"/>
  <c r="L60" i="12"/>
  <c r="T60" i="12"/>
  <c r="S60" i="12"/>
  <c r="E60" i="12"/>
  <c r="M60" i="12"/>
  <c r="U60" i="12"/>
  <c r="F60" i="12"/>
  <c r="N60" i="12"/>
  <c r="G60" i="12"/>
  <c r="O60" i="12"/>
  <c r="H60" i="12"/>
  <c r="P60" i="12"/>
  <c r="K60" i="12"/>
  <c r="I60" i="12"/>
  <c r="Q60" i="12"/>
  <c r="J60" i="12"/>
  <c r="R60" i="12"/>
  <c r="D60" i="12"/>
  <c r="E59" i="12"/>
  <c r="M59" i="12"/>
  <c r="U59" i="12"/>
  <c r="F59" i="12"/>
  <c r="N59" i="12"/>
  <c r="G59" i="12"/>
  <c r="O59" i="12"/>
  <c r="H59" i="12"/>
  <c r="P59" i="12"/>
  <c r="I59" i="12"/>
  <c r="Q59" i="12"/>
  <c r="J59" i="12"/>
  <c r="R59" i="12"/>
  <c r="T59" i="12"/>
  <c r="D59" i="12"/>
  <c r="K59" i="12"/>
  <c r="S59" i="12"/>
  <c r="L59" i="12"/>
  <c r="K61" i="12"/>
  <c r="S61" i="12"/>
  <c r="L61" i="12"/>
  <c r="T61" i="12"/>
  <c r="E61" i="12"/>
  <c r="M61" i="12"/>
  <c r="U61" i="12"/>
  <c r="R61" i="12"/>
  <c r="F61" i="12"/>
  <c r="N61" i="12"/>
  <c r="J61" i="12"/>
  <c r="G61" i="12"/>
  <c r="O61" i="12"/>
  <c r="H61" i="12"/>
  <c r="P61" i="12"/>
  <c r="D61" i="12"/>
  <c r="I61" i="12"/>
  <c r="G32" i="12" s="1"/>
  <c r="Q61" i="12"/>
  <c r="J62" i="12"/>
  <c r="R62" i="12"/>
  <c r="H32" i="12" s="1"/>
  <c r="K62" i="12"/>
  <c r="S62" i="12"/>
  <c r="I62" i="12"/>
  <c r="L62" i="12"/>
  <c r="T62" i="12"/>
  <c r="E62" i="12"/>
  <c r="M62" i="12"/>
  <c r="U62" i="12"/>
  <c r="F62" i="12"/>
  <c r="N62" i="12"/>
  <c r="D62" i="12"/>
  <c r="G62" i="12"/>
  <c r="O62" i="12"/>
  <c r="H62" i="12"/>
  <c r="P62" i="12"/>
  <c r="Q62" i="12"/>
  <c r="L57" i="12"/>
  <c r="T57" i="12"/>
  <c r="M57" i="12"/>
  <c r="F57" i="12"/>
  <c r="S57" i="12"/>
  <c r="U57" i="12"/>
  <c r="N57" i="12"/>
  <c r="E57" i="12"/>
  <c r="G57" i="12"/>
  <c r="O57" i="12"/>
  <c r="D57" i="12"/>
  <c r="H57" i="12"/>
  <c r="P57" i="12"/>
  <c r="K57" i="12"/>
  <c r="I57" i="12"/>
  <c r="Q57" i="12"/>
  <c r="J57" i="12"/>
  <c r="R57" i="12"/>
  <c r="E58" i="12"/>
  <c r="M58" i="12"/>
  <c r="U58" i="12"/>
  <c r="T58" i="12"/>
  <c r="F58" i="12"/>
  <c r="N58" i="12"/>
  <c r="D58" i="12"/>
  <c r="G58" i="12"/>
  <c r="O58" i="12"/>
  <c r="L58" i="12"/>
  <c r="H58" i="12"/>
  <c r="P58" i="12"/>
  <c r="I58" i="12"/>
  <c r="Q58" i="12"/>
  <c r="J58" i="12"/>
  <c r="R58" i="12"/>
  <c r="K58" i="12"/>
  <c r="S58" i="12"/>
  <c r="D38" i="14"/>
  <c r="H38" i="14"/>
  <c r="G32" i="14"/>
  <c r="D44" i="14"/>
  <c r="N21" i="14" s="1"/>
  <c r="F32" i="14"/>
  <c r="E31" i="14"/>
  <c r="J66" i="12"/>
  <c r="F67" i="12"/>
  <c r="N67" i="12"/>
  <c r="R66" i="12"/>
  <c r="G31" i="12"/>
  <c r="T53" i="12"/>
  <c r="L53" i="12"/>
  <c r="D53" i="12"/>
  <c r="N52" i="12"/>
  <c r="F52" i="12"/>
  <c r="P51" i="12"/>
  <c r="H51" i="12"/>
  <c r="R50" i="12"/>
  <c r="J50" i="12"/>
  <c r="R53" i="12"/>
  <c r="J53" i="12"/>
  <c r="T52" i="12"/>
  <c r="L52" i="12"/>
  <c r="D52" i="12"/>
  <c r="N51" i="12"/>
  <c r="F51" i="12"/>
  <c r="P50" i="12"/>
  <c r="H50" i="12"/>
  <c r="Q53" i="12"/>
  <c r="S52" i="12"/>
  <c r="U51" i="12"/>
  <c r="E51" i="12"/>
  <c r="G53" i="12"/>
  <c r="K51" i="12"/>
  <c r="E50" i="12"/>
  <c r="U53" i="12"/>
  <c r="M53" i="12"/>
  <c r="E53" i="12"/>
  <c r="O52" i="12"/>
  <c r="G52" i="12"/>
  <c r="Q51" i="12"/>
  <c r="I51" i="12"/>
  <c r="S53" i="12"/>
  <c r="K53" i="12"/>
  <c r="U52" i="12"/>
  <c r="M52" i="12"/>
  <c r="E52" i="12"/>
  <c r="O51" i="12"/>
  <c r="G51" i="12"/>
  <c r="Q50" i="12"/>
  <c r="I50" i="12"/>
  <c r="H52" i="12"/>
  <c r="D50" i="12"/>
  <c r="G50" i="12"/>
  <c r="I53" i="12"/>
  <c r="K52" i="12"/>
  <c r="M51" i="12"/>
  <c r="O50" i="12"/>
  <c r="Q52" i="12"/>
  <c r="S51" i="12"/>
  <c r="M50" i="12"/>
  <c r="P53" i="12"/>
  <c r="H53" i="12"/>
  <c r="R52" i="12"/>
  <c r="J52" i="12"/>
  <c r="T51" i="12"/>
  <c r="L51" i="12"/>
  <c r="D51" i="12"/>
  <c r="N50" i="12"/>
  <c r="F50" i="12"/>
  <c r="N53" i="12"/>
  <c r="F53" i="12"/>
  <c r="P52" i="12"/>
  <c r="R51" i="12"/>
  <c r="J51" i="12"/>
  <c r="L50" i="12"/>
  <c r="O53" i="12"/>
  <c r="I52" i="12"/>
  <c r="U50" i="12"/>
  <c r="T50" i="12"/>
  <c r="E31" i="12"/>
  <c r="K50" i="12"/>
  <c r="D31" i="12"/>
  <c r="F31" i="12"/>
  <c r="F32" i="12"/>
  <c r="K66" i="12"/>
  <c r="S66" i="12"/>
  <c r="G67" i="12"/>
  <c r="O67" i="12"/>
  <c r="P67" i="12"/>
  <c r="D66" i="12"/>
  <c r="L66" i="12"/>
  <c r="T66" i="12"/>
  <c r="H67" i="12"/>
  <c r="E44" i="12" a="1"/>
  <c r="E44" i="12" s="1"/>
  <c r="C31" i="12"/>
  <c r="J12" i="12" s="1"/>
  <c r="J11" i="12" s="1"/>
  <c r="E66" i="12"/>
  <c r="M66" i="12"/>
  <c r="U66" i="12"/>
  <c r="I67" i="12"/>
  <c r="Q67" i="12"/>
  <c r="F66" i="12"/>
  <c r="N66" i="12"/>
  <c r="J67" i="12"/>
  <c r="R67" i="12"/>
  <c r="D32" i="12"/>
  <c r="G66" i="12"/>
  <c r="O66" i="12"/>
  <c r="K67" i="12"/>
  <c r="S67" i="12"/>
  <c r="F43" i="12"/>
  <c r="H66" i="12"/>
  <c r="P66" i="12"/>
  <c r="D67" i="12"/>
  <c r="L67" i="12"/>
  <c r="T67" i="12"/>
  <c r="E43" i="12"/>
  <c r="F44" i="12" a="1"/>
  <c r="F44" i="12" s="1"/>
  <c r="C32" i="12"/>
  <c r="I66" i="12"/>
  <c r="Q66" i="12"/>
  <c r="E67" i="12"/>
  <c r="M67" i="12"/>
  <c r="N40" i="19" l="1"/>
  <c r="J28" i="19"/>
  <c r="C38" i="12" a="1"/>
  <c r="C38" i="12" s="1"/>
  <c r="D37" i="12"/>
  <c r="C44" i="12" a="1"/>
  <c r="C44" i="12" s="1"/>
  <c r="D43" i="12"/>
  <c r="D44" i="12" a="1"/>
  <c r="D44" i="12" s="1"/>
  <c r="C37" i="12"/>
  <c r="J18" i="12" s="1"/>
  <c r="J17" i="12" s="1"/>
  <c r="L17" i="12" s="1"/>
  <c r="C43" i="12"/>
  <c r="J24" i="12" s="1"/>
  <c r="J23" i="12" s="1"/>
  <c r="E32" i="12"/>
  <c r="F37" i="12"/>
  <c r="D38" i="12" a="1"/>
  <c r="D38" i="12" s="1"/>
  <c r="F38" i="12" a="1"/>
  <c r="F38" i="12" s="1"/>
  <c r="E37" i="12"/>
  <c r="H31" i="12"/>
  <c r="E38" i="12" a="1"/>
  <c r="E38" i="12" s="1"/>
  <c r="I10" i="14"/>
  <c r="N18" i="14" s="1"/>
  <c r="I9" i="14"/>
  <c r="G29" i="12"/>
  <c r="L20" i="12" s="1"/>
  <c r="E32" i="14"/>
  <c r="D31" i="14"/>
  <c r="N13" i="14" s="1"/>
  <c r="H32" i="14"/>
  <c r="D32" i="14"/>
  <c r="E28" i="12"/>
  <c r="F29" i="12"/>
  <c r="E40" i="12"/>
  <c r="E34" i="12"/>
  <c r="F41" i="12" l="1"/>
  <c r="G41" i="12"/>
  <c r="D40" i="12" s="1"/>
  <c r="N17" i="12"/>
  <c r="N19" i="14"/>
  <c r="N15" i="14"/>
  <c r="O15" i="14" s="1"/>
  <c r="O18" i="14"/>
  <c r="O21" i="14"/>
  <c r="O17" i="14"/>
  <c r="O19" i="14"/>
  <c r="I35" i="12"/>
  <c r="O17" i="12"/>
  <c r="J22" i="12"/>
  <c r="O13" i="12"/>
  <c r="J21" i="12"/>
  <c r="J16" i="12"/>
  <c r="O19" i="12"/>
  <c r="J15" i="12"/>
  <c r="J9" i="12"/>
  <c r="J10" i="12"/>
  <c r="O18" i="12"/>
  <c r="O20" i="12"/>
  <c r="G35" i="12"/>
  <c r="F35" i="12"/>
  <c r="I10" i="12"/>
  <c r="I9" i="12"/>
  <c r="D28" i="12"/>
  <c r="H29" i="12"/>
  <c r="D29" i="12"/>
  <c r="E41" i="12"/>
  <c r="E35" i="12"/>
  <c r="E29" i="12"/>
  <c r="I22" i="12" l="1"/>
  <c r="D41" i="12"/>
  <c r="I21" i="12"/>
  <c r="H41" i="12"/>
  <c r="H35" i="12"/>
  <c r="I15" i="12"/>
  <c r="I16" i="12"/>
  <c r="D34" i="12"/>
  <c r="N13" i="12" s="1"/>
  <c r="D35" i="12"/>
  <c r="N20" i="12" s="1"/>
  <c r="N18" i="12" s="1"/>
  <c r="O70" i="8"/>
  <c r="N70" i="8"/>
  <c r="M70" i="8"/>
  <c r="L70" i="8"/>
  <c r="K70" i="8"/>
  <c r="J70" i="8"/>
  <c r="I70" i="8"/>
  <c r="H70" i="8"/>
  <c r="G70" i="8"/>
  <c r="F70" i="8"/>
  <c r="D47" i="8" s="1" a="1"/>
  <c r="D47" i="8" s="1"/>
  <c r="E70" i="8"/>
  <c r="D70" i="8"/>
  <c r="O69" i="8"/>
  <c r="N69" i="8"/>
  <c r="M69" i="8"/>
  <c r="L69" i="8"/>
  <c r="K69" i="8"/>
  <c r="J69" i="8"/>
  <c r="I69" i="8"/>
  <c r="H69" i="8"/>
  <c r="G69" i="8"/>
  <c r="F69" i="8"/>
  <c r="C47" i="8" s="1" a="1"/>
  <c r="C47" i="8" s="1"/>
  <c r="E69" i="8"/>
  <c r="D69" i="8"/>
  <c r="C46" i="8" s="1"/>
  <c r="J24" i="8" s="1"/>
  <c r="J23" i="8" s="1"/>
  <c r="C65" i="8" a="1"/>
  <c r="C65" i="8" s="1"/>
  <c r="C64" i="8" a="1"/>
  <c r="C64" i="8" s="1"/>
  <c r="C63" i="8" a="1"/>
  <c r="C63" i="8" s="1"/>
  <c r="C62" i="8" a="1"/>
  <c r="C62" i="8" s="1"/>
  <c r="C61" i="8" a="1"/>
  <c r="C61" i="8" s="1"/>
  <c r="C60" i="8"/>
  <c r="M60" i="8" s="1"/>
  <c r="C58" i="8"/>
  <c r="O56" i="8"/>
  <c r="N56" i="8"/>
  <c r="M56" i="8"/>
  <c r="L56" i="8"/>
  <c r="K56" i="8"/>
  <c r="J56" i="8"/>
  <c r="I56" i="8"/>
  <c r="H56" i="8"/>
  <c r="F56" i="8"/>
  <c r="F41" i="8" s="1" a="1"/>
  <c r="F41" i="8" s="1"/>
  <c r="E56" i="8"/>
  <c r="O55" i="8"/>
  <c r="N55" i="8"/>
  <c r="M55" i="8"/>
  <c r="L55" i="8"/>
  <c r="K55" i="8"/>
  <c r="J55" i="8"/>
  <c r="I55" i="8"/>
  <c r="H55" i="8"/>
  <c r="G55" i="8"/>
  <c r="F55" i="8"/>
  <c r="E41" i="8" s="1" a="1"/>
  <c r="E41" i="8" s="1"/>
  <c r="E55" i="8"/>
  <c r="D55" i="8"/>
  <c r="E40" i="8" s="1"/>
  <c r="C55" i="8"/>
  <c r="O54" i="8"/>
  <c r="N54" i="8"/>
  <c r="M54" i="8"/>
  <c r="L54" i="8"/>
  <c r="K54" i="8"/>
  <c r="J54" i="8"/>
  <c r="I54" i="8"/>
  <c r="H54" i="8"/>
  <c r="G54" i="8"/>
  <c r="F54" i="8"/>
  <c r="D41" i="8" s="1" a="1"/>
  <c r="D41" i="8" s="1"/>
  <c r="E54" i="8"/>
  <c r="E43" i="8" s="1"/>
  <c r="D54" i="8"/>
  <c r="D40" i="8" s="1"/>
  <c r="C54" i="8"/>
  <c r="O53" i="8"/>
  <c r="N53" i="8"/>
  <c r="M53" i="8"/>
  <c r="L53" i="8"/>
  <c r="K53" i="8"/>
  <c r="J53" i="8"/>
  <c r="I53" i="8"/>
  <c r="H53" i="8"/>
  <c r="G53" i="8"/>
  <c r="F53" i="8"/>
  <c r="C41" i="8" s="1" a="1"/>
  <c r="C41" i="8" s="1"/>
  <c r="E53" i="8"/>
  <c r="D53" i="8"/>
  <c r="J18" i="8" s="1"/>
  <c r="J17" i="8" s="1"/>
  <c r="C53" i="8"/>
  <c r="C49" i="8"/>
  <c r="F47" i="8" a="1"/>
  <c r="F47" i="8" s="1"/>
  <c r="E47" i="8" a="1"/>
  <c r="E47" i="8" s="1"/>
  <c r="F46" i="8"/>
  <c r="E46" i="8"/>
  <c r="D46" i="8"/>
  <c r="F40" i="8"/>
  <c r="G21" i="8"/>
  <c r="G23" i="8" s="1"/>
  <c r="G16" i="8"/>
  <c r="G15" i="8"/>
  <c r="I35" i="6"/>
  <c r="N15" i="12" l="1"/>
  <c r="O15" i="12" s="1"/>
  <c r="L17" i="8"/>
  <c r="N17" i="8"/>
  <c r="N19" i="12"/>
  <c r="L21" i="8"/>
  <c r="I44" i="8"/>
  <c r="J21" i="8"/>
  <c r="F38" i="8"/>
  <c r="E37" i="8"/>
  <c r="O65" i="8"/>
  <c r="L65" i="8"/>
  <c r="H60" i="8"/>
  <c r="F44" i="8"/>
  <c r="F60" i="8"/>
  <c r="G44" i="8"/>
  <c r="J60" i="8"/>
  <c r="D65" i="8"/>
  <c r="N60" i="8"/>
  <c r="H65" i="8"/>
  <c r="H61" i="8"/>
  <c r="O61" i="8"/>
  <c r="G61" i="8"/>
  <c r="N61" i="8"/>
  <c r="F61" i="8"/>
  <c r="M61" i="8"/>
  <c r="E61" i="8"/>
  <c r="L61" i="8"/>
  <c r="D61" i="8"/>
  <c r="K61" i="8"/>
  <c r="J61" i="8"/>
  <c r="I61" i="8"/>
  <c r="J62" i="8"/>
  <c r="I62" i="8"/>
  <c r="H62" i="8"/>
  <c r="O62" i="8"/>
  <c r="G62" i="8"/>
  <c r="N62" i="8"/>
  <c r="F62" i="8"/>
  <c r="E35" i="8" s="1"/>
  <c r="M62" i="8"/>
  <c r="E62" i="8"/>
  <c r="L62" i="8"/>
  <c r="D62" i="8"/>
  <c r="E34" i="8" s="1"/>
  <c r="K62" i="8"/>
  <c r="N64" i="8"/>
  <c r="F64" i="8"/>
  <c r="M64" i="8"/>
  <c r="E64" i="8"/>
  <c r="L64" i="8"/>
  <c r="D64" i="8"/>
  <c r="K64" i="8"/>
  <c r="J64" i="8"/>
  <c r="I64" i="8"/>
  <c r="H64" i="8"/>
  <c r="O64" i="8"/>
  <c r="G64" i="8"/>
  <c r="L63" i="8"/>
  <c r="D63" i="8"/>
  <c r="K63" i="8"/>
  <c r="J63" i="8"/>
  <c r="I63" i="8"/>
  <c r="H63" i="8"/>
  <c r="O63" i="8"/>
  <c r="G63" i="8"/>
  <c r="N63" i="8"/>
  <c r="F63" i="8"/>
  <c r="F35" i="8" s="1"/>
  <c r="M63" i="8"/>
  <c r="E63" i="8"/>
  <c r="G38" i="8"/>
  <c r="G60" i="8"/>
  <c r="O60" i="8"/>
  <c r="I65" i="8"/>
  <c r="J65" i="8"/>
  <c r="I60" i="8"/>
  <c r="K65" i="8"/>
  <c r="K60" i="8"/>
  <c r="E65" i="8"/>
  <c r="M65" i="8"/>
  <c r="D60" i="8"/>
  <c r="L60" i="8"/>
  <c r="F65" i="8"/>
  <c r="H35" i="8" s="1"/>
  <c r="N65" i="8"/>
  <c r="E60" i="8"/>
  <c r="G65" i="8"/>
  <c r="I3" i="6"/>
  <c r="I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C34" i="8" l="1"/>
  <c r="J12" i="8" s="1"/>
  <c r="J11" i="8" s="1"/>
  <c r="C35" i="8"/>
  <c r="G35" i="8"/>
  <c r="D34" i="8"/>
  <c r="F34" i="8"/>
  <c r="G34" i="8"/>
  <c r="H34" i="8"/>
  <c r="D35" i="8"/>
  <c r="O13" i="8"/>
  <c r="J16" i="8"/>
  <c r="J15" i="8"/>
  <c r="J10" i="8"/>
  <c r="J9" i="8"/>
  <c r="E31" i="8"/>
  <c r="E32" i="8" s="1"/>
  <c r="I21" i="8"/>
  <c r="I22" i="8"/>
  <c r="I16" i="8"/>
  <c r="I15" i="8"/>
  <c r="D43" i="8"/>
  <c r="H44" i="8"/>
  <c r="D44" i="8"/>
  <c r="N21" i="8" s="1"/>
  <c r="L23" i="8" s="1"/>
  <c r="E38" i="8"/>
  <c r="E44" i="8"/>
  <c r="J22" i="8"/>
  <c r="D38" i="8"/>
  <c r="D37" i="8"/>
  <c r="H38" i="8"/>
  <c r="F15" i="19" l="1"/>
  <c r="I15" i="19"/>
  <c r="J15" i="19" s="1"/>
  <c r="F32" i="8"/>
  <c r="G32" i="8"/>
  <c r="D31" i="8" s="1"/>
  <c r="N13" i="8" s="1"/>
  <c r="D27" i="1"/>
  <c r="H32" i="8" l="1"/>
  <c r="I10" i="8"/>
  <c r="N18" i="8" s="1"/>
  <c r="O21" i="8" s="1"/>
  <c r="I9" i="8"/>
  <c r="D32" i="8"/>
  <c r="C14" i="1"/>
  <c r="I9" i="1"/>
  <c r="I10" i="1"/>
  <c r="C28" i="1" l="1"/>
  <c r="H13" i="1"/>
  <c r="F13" i="1"/>
  <c r="N15" i="8"/>
  <c r="O15" i="8" s="1"/>
  <c r="N19" i="8"/>
  <c r="O19" i="8"/>
  <c r="O17" i="8"/>
  <c r="O18" i="8"/>
  <c r="I14" i="1"/>
  <c r="E28" i="1"/>
  <c r="C27" i="1" l="1"/>
  <c r="H9" i="1" s="1"/>
  <c r="G28" i="1"/>
  <c r="H10" i="1" l="1"/>
  <c r="H14" i="1" l="1"/>
  <c r="F15" i="1" s="1"/>
  <c r="H15" i="1" l="1"/>
  <c r="I15" i="1" l="1"/>
  <c r="F16" i="1"/>
  <c r="F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K14" authorId="0" shapeId="0" xr:uid="{BF4FBF40-2DAB-4F70-92FF-F4D2998DB0C7}">
      <text>
        <r>
          <rPr>
            <b/>
            <sz val="9"/>
            <color indexed="81"/>
            <rFont val="Tahoma"/>
            <family val="2"/>
          </rPr>
          <t>Please change the Rate of Exchange according to current ROE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L14" authorId="0" shapeId="0" xr:uid="{0A0CD857-B06E-49CC-80DF-4B6AE0D1B8A8}">
      <text>
        <r>
          <rPr>
            <b/>
            <sz val="9"/>
            <color indexed="81"/>
            <rFont val="Tahoma"/>
            <family val="2"/>
          </rPr>
          <t>Please change the Rate of Exchange according to current ROE !
Input the number in this format please,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N7" authorId="0" shapeId="0" xr:uid="{4AB2A2E1-9884-4A36-B023-A55852A77D39}">
      <text>
        <r>
          <rPr>
            <b/>
            <sz val="9"/>
            <color indexed="81"/>
            <rFont val="Tahoma"/>
            <family val="2"/>
          </rPr>
          <t>Please change the Rate of Exchange according to current ROE !</t>
        </r>
      </text>
    </comment>
    <comment ref="F9" authorId="0" shapeId="0" xr:uid="{0236AC96-B7FD-4D80-B609-930C77C4D312}">
      <text>
        <r>
          <rPr>
            <b/>
            <sz val="9"/>
            <color indexed="81"/>
            <rFont val="Tahoma"/>
            <family val="2"/>
          </rPr>
          <t>DISCHARGE DATE OF THE FULL EQUIPMENT.</t>
        </r>
      </text>
    </comment>
    <comment ref="F10" authorId="0" shapeId="0" xr:uid="{ED103808-E64D-4329-9C3B-44E603A20118}">
      <text>
        <r>
          <rPr>
            <b/>
            <sz val="9"/>
            <color indexed="81"/>
            <rFont val="Tahoma"/>
            <family val="2"/>
          </rPr>
          <t>DATE FOR THE FULL EQUIPMENT GATES OUT OF THE TERMINAL.</t>
        </r>
      </text>
    </comment>
    <comment ref="J11" authorId="0" shapeId="0" xr:uid="{0E08A192-CB45-4E60-AEF5-4E8A7AE40C70}">
      <text>
        <r>
          <rPr>
            <b/>
            <sz val="9"/>
            <color indexed="81"/>
            <rFont val="Tahoma"/>
            <family val="2"/>
          </rPr>
          <t>Please insert Standard freetime in this box if you do not have any special freetime agreement  !</t>
        </r>
      </text>
    </comment>
    <comment ref="F15" authorId="0" shapeId="0" xr:uid="{1FB3A17A-F67B-43A6-8A1C-335D41CBF4DB}">
      <text>
        <r>
          <rPr>
            <b/>
            <sz val="9"/>
            <color indexed="81"/>
            <rFont val="Tahoma"/>
            <family val="2"/>
          </rPr>
          <t>DISCHARGE DATE OF THE FULL EQUIPMENT.</t>
        </r>
      </text>
    </comment>
    <comment ref="F16" authorId="0" shapeId="0" xr:uid="{35955DA1-AA53-4810-9522-6981846EFE9C}">
      <text>
        <r>
          <rPr>
            <b/>
            <sz val="9"/>
            <color indexed="81"/>
            <rFont val="Tahoma"/>
            <family val="2"/>
          </rPr>
          <t>DATE FOR THE FULL EQUIPMENT GATES OUT OF THE TERMINAL.</t>
        </r>
      </text>
    </comment>
    <comment ref="J17" authorId="0" shapeId="0" xr:uid="{1F9036AB-35B9-4117-93FB-B992431E35DC}">
      <text>
        <r>
          <rPr>
            <b/>
            <sz val="9"/>
            <color indexed="81"/>
            <rFont val="Tahoma"/>
            <family val="2"/>
          </rPr>
          <t>Please insert Standard freetime in this box if you do not have any special freetime agreement  !</t>
        </r>
      </text>
    </comment>
    <comment ref="F21" authorId="0" shapeId="0" xr:uid="{1330386F-9F1B-4E5B-AAF2-D0367A24285B}">
      <text>
        <r>
          <rPr>
            <b/>
            <sz val="9"/>
            <color indexed="81"/>
            <rFont val="Tahoma"/>
            <family val="2"/>
          </rPr>
          <t>DATE FOR THE FULL EQUIPMENT GATES OUT OF THE TERMINAL.</t>
        </r>
      </text>
    </comment>
    <comment ref="F22" authorId="0" shapeId="0" xr:uid="{8DF342D7-1384-4138-B56C-47ABE127E1DD}">
      <text>
        <r>
          <rPr>
            <b/>
            <sz val="9"/>
            <color indexed="81"/>
            <rFont val="Tahoma"/>
            <family val="2"/>
          </rPr>
          <t>DATE FOR THE EMPTY EQUIPMENT RETURNED BACK TO HAPAG LLOYD AUTHORITIES.</t>
        </r>
      </text>
    </comment>
    <comment ref="J23" authorId="0" shapeId="0" xr:uid="{F886AFA1-17D3-4361-A9F3-4E14FF2FE63D}">
      <text>
        <r>
          <rPr>
            <b/>
            <sz val="9"/>
            <color indexed="81"/>
            <rFont val="Tahoma"/>
            <family val="2"/>
          </rPr>
          <t>Please insert Standard freetime in this box if you do not have any special freetime agreement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N7" authorId="0" shapeId="0" xr:uid="{15B4B894-EB9C-4586-AFED-0F15199F1D68}">
      <text>
        <r>
          <rPr>
            <b/>
            <sz val="9"/>
            <color indexed="81"/>
            <rFont val="Tahoma"/>
            <family val="2"/>
          </rPr>
          <t>Please change the Rate of Exchange according to current ROE !</t>
        </r>
      </text>
    </comment>
    <comment ref="F9" authorId="0" shapeId="0" xr:uid="{DCDE55DD-050F-4D44-A30A-1CFA2D28A411}">
      <text>
        <r>
          <rPr>
            <b/>
            <sz val="9"/>
            <color indexed="81"/>
            <rFont val="Tahoma"/>
            <family val="2"/>
          </rPr>
          <t>DISCHARGE DATE OF THE FULL EQUIPMENT.</t>
        </r>
      </text>
    </comment>
    <comment ref="F10" authorId="0" shapeId="0" xr:uid="{4D275EAA-68B9-469D-B98E-5F22B40C9D9F}">
      <text>
        <r>
          <rPr>
            <b/>
            <sz val="9"/>
            <color indexed="81"/>
            <rFont val="Tahoma"/>
            <family val="2"/>
          </rPr>
          <t>DATE FOR THE FULL EQUIPMENT GATES OUT OF THE TERMINAL.</t>
        </r>
      </text>
    </comment>
    <comment ref="J11" authorId="0" shapeId="0" xr:uid="{75151941-61D1-4485-846E-21DDAAA276A6}">
      <text>
        <r>
          <rPr>
            <b/>
            <sz val="9"/>
            <color indexed="81"/>
            <rFont val="Tahoma"/>
            <family val="2"/>
          </rPr>
          <t>Please insert Standard freetime in this box if you do not have any special freetime agreement  !</t>
        </r>
      </text>
    </comment>
    <comment ref="F15" authorId="0" shapeId="0" xr:uid="{657BC47D-4CA1-43F1-9868-F218996B3DCD}">
      <text>
        <r>
          <rPr>
            <b/>
            <sz val="9"/>
            <color indexed="81"/>
            <rFont val="Tahoma"/>
            <family val="2"/>
          </rPr>
          <t>DISCHARGE DATE OF THE FULL EQUIPMENT.</t>
        </r>
      </text>
    </comment>
    <comment ref="F16" authorId="0" shapeId="0" xr:uid="{12C1333F-3265-4076-83C8-D7A602FB65E8}">
      <text>
        <r>
          <rPr>
            <b/>
            <sz val="9"/>
            <color indexed="81"/>
            <rFont val="Tahoma"/>
            <family val="2"/>
          </rPr>
          <t>DATE FOR THE FULL EQUIPMENT GATES OUT OF THE TERMINAL.</t>
        </r>
      </text>
    </comment>
    <comment ref="J17" authorId="0" shapeId="0" xr:uid="{A4C47B38-5A0C-4D53-BBFA-63B3920BB465}">
      <text>
        <r>
          <rPr>
            <b/>
            <sz val="9"/>
            <color indexed="81"/>
            <rFont val="Tahoma"/>
            <family val="2"/>
          </rPr>
          <t>Please insert Standard freetime in this box if you do not have any special freetime agreement  !</t>
        </r>
      </text>
    </comment>
    <comment ref="F21" authorId="0" shapeId="0" xr:uid="{4D41EDF0-1465-4CE6-8808-002C71D90663}">
      <text>
        <r>
          <rPr>
            <b/>
            <sz val="9"/>
            <color indexed="81"/>
            <rFont val="Tahoma"/>
            <family val="2"/>
          </rPr>
          <t>DATE FOR THE FULL EQUIPMENT GATES OUT OF THE TERMINAL.</t>
        </r>
      </text>
    </comment>
    <comment ref="F22" authorId="0" shapeId="0" xr:uid="{4C1373A5-87BD-4719-8F67-E06BD55111C4}">
      <text>
        <r>
          <rPr>
            <b/>
            <sz val="9"/>
            <color indexed="81"/>
            <rFont val="Tahoma"/>
            <family val="2"/>
          </rPr>
          <t>DATE FOR THE EMPTY EQUIPMENT RETURNED BACK TO HAPAG LLOYD AUTHORITIES.</t>
        </r>
      </text>
    </comment>
    <comment ref="J23" authorId="0" shapeId="0" xr:uid="{AA4A1BA6-5B86-491C-B17D-172FA95EC2D5}">
      <text>
        <r>
          <rPr>
            <b/>
            <sz val="9"/>
            <color indexed="81"/>
            <rFont val="Tahoma"/>
            <family val="2"/>
          </rPr>
          <t>Please insert Standard freetime in this box if you do not have any special freetime agreement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N7" authorId="0" shapeId="0" xr:uid="{D01DA04F-39F6-462A-BEDC-3532EC7EE811}">
      <text>
        <r>
          <rPr>
            <b/>
            <sz val="9"/>
            <color indexed="81"/>
            <rFont val="Tahoma"/>
            <family val="2"/>
          </rPr>
          <t>Please change the Rate of Exchange according to current ROE !</t>
        </r>
      </text>
    </comment>
    <comment ref="F9" authorId="0" shapeId="0" xr:uid="{96B57471-D8B9-4DC1-816F-318CEA5D3BDB}">
      <text>
        <r>
          <rPr>
            <b/>
            <sz val="9"/>
            <color indexed="81"/>
            <rFont val="Tahoma"/>
            <family val="2"/>
          </rPr>
          <t>DISCHARGE DATE OF THE FULL EQUIPMENT.</t>
        </r>
      </text>
    </comment>
    <comment ref="F10" authorId="0" shapeId="0" xr:uid="{092A6E76-4236-42E1-BB09-C9D02DD294DF}">
      <text>
        <r>
          <rPr>
            <b/>
            <sz val="9"/>
            <color indexed="81"/>
            <rFont val="Tahoma"/>
            <family val="2"/>
          </rPr>
          <t>DATE FOR THE FULL EQUIPMENT GATES OUT OF THE TERMINAL.</t>
        </r>
      </text>
    </comment>
    <comment ref="J11" authorId="0" shapeId="0" xr:uid="{F8FC4F49-BD74-4A35-A4DF-1CEDAE04BEFD}">
      <text>
        <r>
          <rPr>
            <b/>
            <sz val="9"/>
            <color indexed="81"/>
            <rFont val="Tahoma"/>
            <family val="2"/>
          </rPr>
          <t>Please insert Standard freetime in this box if you do not have any special freetime agreement  !</t>
        </r>
      </text>
    </comment>
    <comment ref="F15" authorId="0" shapeId="0" xr:uid="{7C3677E6-091E-4169-BB87-B893065B25C6}">
      <text>
        <r>
          <rPr>
            <b/>
            <sz val="9"/>
            <color indexed="81"/>
            <rFont val="Tahoma"/>
            <family val="2"/>
          </rPr>
          <t>DISCHARGE DATE OF THE FULL EQUIPMENT.</t>
        </r>
      </text>
    </comment>
    <comment ref="F16" authorId="0" shapeId="0" xr:uid="{AEC965AA-5A7D-40E4-933B-939FDEE48E43}">
      <text>
        <r>
          <rPr>
            <b/>
            <sz val="9"/>
            <color indexed="81"/>
            <rFont val="Tahoma"/>
            <family val="2"/>
          </rPr>
          <t>DATE FOR THE EMPTY EQUIPMENT RETURNED BACK TO HAPAG LLOYD AUTHORITIES.</t>
        </r>
      </text>
    </comment>
    <comment ref="J17" authorId="0" shapeId="0" xr:uid="{C0813F34-62D0-4537-9A29-CD7E6EDC5B91}">
      <text>
        <r>
          <rPr>
            <b/>
            <sz val="9"/>
            <color indexed="81"/>
            <rFont val="Tahoma"/>
            <family val="2"/>
          </rPr>
          <t>Please insert Standard freetime in this box if you do not have any special freetime agreement  !</t>
        </r>
      </text>
    </comment>
    <comment ref="F21" authorId="0" shapeId="0" xr:uid="{3E5146F3-1CC1-4B7D-B81E-807FB81F1579}">
      <text>
        <r>
          <rPr>
            <b/>
            <sz val="9"/>
            <color indexed="81"/>
            <rFont val="Tahoma"/>
            <family val="2"/>
          </rPr>
          <t>DISCHARGE DATE OF THE FULL EQUIPMENT.</t>
        </r>
      </text>
    </comment>
    <comment ref="F22" authorId="0" shapeId="0" xr:uid="{9A3E3DA4-AF01-48F4-9DAB-66C9E1E25469}">
      <text>
        <r>
          <rPr>
            <b/>
            <sz val="9"/>
            <color indexed="81"/>
            <rFont val="Tahoma"/>
            <family val="2"/>
          </rPr>
          <t>DATE FOR THE EMPTY EQUIPMENT RETURNED BACK TO HAPAG LLOYD AUTHORITIES.</t>
        </r>
      </text>
    </comment>
    <comment ref="J23" authorId="0" shapeId="0" xr:uid="{ED0A7979-4070-40F0-A52C-96CC524D9258}">
      <text>
        <r>
          <rPr>
            <b/>
            <sz val="9"/>
            <color indexed="81"/>
            <rFont val="Tahoma"/>
            <family val="2"/>
          </rPr>
          <t>Please insert Standard freetime in this box if you do not have any special freetime agreement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Orcen, Semih</author>
  </authors>
  <commentList>
    <comment ref="L8" authorId="0" shapeId="0" xr:uid="{DEC22984-251D-4513-A0F3-744807C69C93}">
      <text>
        <r>
          <rPr>
            <b/>
            <sz val="9"/>
            <color indexed="81"/>
            <rFont val="Tahoma"/>
            <family val="2"/>
          </rPr>
          <t>Please change the Rate of Exchange according to current ROE !
Input the number in this format please,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<sst xmlns="http://schemas.openxmlformats.org/spreadsheetml/2006/main" count="3180" uniqueCount="350">
  <si>
    <t>Thereafter</t>
  </si>
  <si>
    <t>Freetime</t>
  </si>
  <si>
    <t>Days</t>
  </si>
  <si>
    <t>Curr</t>
  </si>
  <si>
    <t>Rate Per Day</t>
  </si>
  <si>
    <t>1st Period</t>
  </si>
  <si>
    <t>USD</t>
  </si>
  <si>
    <t>2nd Period</t>
  </si>
  <si>
    <t>20'ft General</t>
  </si>
  <si>
    <t>20'ft Special</t>
  </si>
  <si>
    <t>20'ft Reefer</t>
  </si>
  <si>
    <t>Period</t>
  </si>
  <si>
    <t>free-time</t>
  </si>
  <si>
    <t>round1</t>
  </si>
  <si>
    <t>round2</t>
  </si>
  <si>
    <t>thereafter</t>
  </si>
  <si>
    <t>Freetime advantage</t>
  </si>
  <si>
    <t>Total Cost Normally</t>
  </si>
  <si>
    <t>Greece</t>
  </si>
  <si>
    <t>EUR</t>
  </si>
  <si>
    <t>Egypt</t>
  </si>
  <si>
    <t>Portugal</t>
  </si>
  <si>
    <t>Libya</t>
  </si>
  <si>
    <t>Tunisia</t>
  </si>
  <si>
    <t>TND</t>
  </si>
  <si>
    <t>Algeria</t>
  </si>
  <si>
    <t>Albania</t>
  </si>
  <si>
    <t>Bosnia+Herzegovina</t>
  </si>
  <si>
    <t>Bulgaria</t>
  </si>
  <si>
    <t>Croatia Ploce/Split</t>
  </si>
  <si>
    <t>Croatia all other ports</t>
  </si>
  <si>
    <t>Cyprus</t>
  </si>
  <si>
    <t>Georgia</t>
  </si>
  <si>
    <t>Israel</t>
  </si>
  <si>
    <t>Lebanon</t>
  </si>
  <si>
    <t>Malta</t>
  </si>
  <si>
    <t>Romania</t>
  </si>
  <si>
    <t>Russia</t>
  </si>
  <si>
    <t>Serbia + Montenegro</t>
  </si>
  <si>
    <t>Slovenia DEM</t>
  </si>
  <si>
    <t>Slovenia DET</t>
  </si>
  <si>
    <t>Syria</t>
  </si>
  <si>
    <t>Ukraine</t>
  </si>
  <si>
    <t/>
  </si>
  <si>
    <t>Countries</t>
  </si>
  <si>
    <t>20ft General</t>
  </si>
  <si>
    <t>20ft Special</t>
  </si>
  <si>
    <t>20ft Reefer</t>
  </si>
  <si>
    <t>Italy Detention</t>
  </si>
  <si>
    <t>Disclaimer</t>
  </si>
  <si>
    <t>Definition of Detention &amp; Demurrage</t>
  </si>
  <si>
    <t>If you're not sure, please click here.</t>
  </si>
  <si>
    <t>40/45ft General</t>
  </si>
  <si>
    <t>40/45ft Special</t>
  </si>
  <si>
    <t>40/45ft Reefer</t>
  </si>
  <si>
    <t>40/45'ft General</t>
  </si>
  <si>
    <t>40/45'ft Special</t>
  </si>
  <si>
    <t>40/45'ft Reefer</t>
  </si>
  <si>
    <t>DETENTION &amp; DEMURRAGE (D&amp;D) CALCULATOR</t>
  </si>
  <si>
    <r>
      <rPr>
        <b/>
        <sz val="12"/>
        <color rgb="FF111565"/>
        <rFont val="Arial"/>
        <family val="2"/>
      </rPr>
      <t>HAPAG-LLOYD |</t>
    </r>
    <r>
      <rPr>
        <b/>
        <sz val="12"/>
        <color theme="1"/>
        <rFont val="Arial"/>
        <family val="2"/>
      </rPr>
      <t xml:space="preserve"> </t>
    </r>
    <r>
      <rPr>
        <b/>
        <sz val="12"/>
        <color rgb="FFFF6600"/>
        <rFont val="Arial"/>
        <family val="2"/>
      </rPr>
      <t>REGION SOUTH EUROPE</t>
    </r>
  </si>
  <si>
    <t>Select the equipment type:</t>
  </si>
  <si>
    <t>https://www.hapag-lloyd.com/en/online-business/quotation/detention-demurrage.html#anchor_otea782d</t>
  </si>
  <si>
    <t>D&amp;D COST With Standart Freetime:</t>
  </si>
  <si>
    <t>D&amp;D COST After Given Freetime:</t>
  </si>
  <si>
    <t>Select the end date:</t>
  </si>
  <si>
    <t>Select the country:</t>
  </si>
  <si>
    <t>Total days:</t>
  </si>
  <si>
    <t>Additional Freetime - Surcharge Matrix</t>
  </si>
  <si>
    <t>Publish date:</t>
  </si>
  <si>
    <t>Geo To Region</t>
  </si>
  <si>
    <t>To Country &amp; Geo Location</t>
  </si>
  <si>
    <t>Valid From</t>
  </si>
  <si>
    <t>Valid to</t>
  </si>
  <si>
    <t>20'GP</t>
  </si>
  <si>
    <t>40'GP/HC</t>
  </si>
  <si>
    <t>20#</t>
  </si>
  <si>
    <t>40#</t>
  </si>
  <si>
    <t>Column1</t>
  </si>
  <si>
    <t>Asia</t>
  </si>
  <si>
    <t>Until further notice</t>
  </si>
  <si>
    <t>USD 25 / box &amp; day</t>
  </si>
  <si>
    <t>USD 50 / box &amp; day</t>
  </si>
  <si>
    <t>Japan, Cambodia, Myanmar</t>
  </si>
  <si>
    <t>New Zealand</t>
  </si>
  <si>
    <t>USD 35 / box &amp; day</t>
  </si>
  <si>
    <t>USD 70 / box &amp; day</t>
  </si>
  <si>
    <t>Australia</t>
  </si>
  <si>
    <t>Indonesia,</t>
  </si>
  <si>
    <t>Latin America</t>
  </si>
  <si>
    <t>Argentina, Uruguay, Paraguay</t>
  </si>
  <si>
    <t>USD 60 / box &amp; day</t>
  </si>
  <si>
    <t>Brazil</t>
  </si>
  <si>
    <t>Colombia, Ecuador, Venezuela, Peru, Chile, Central America</t>
  </si>
  <si>
    <t>USD 80 / box &amp; day</t>
  </si>
  <si>
    <t>USD 55 / box &amp; day</t>
  </si>
  <si>
    <t>Mexico</t>
  </si>
  <si>
    <t>USD 90 / box &amp; day</t>
  </si>
  <si>
    <t>Middle East</t>
  </si>
  <si>
    <t>India</t>
  </si>
  <si>
    <t>USD 45 / box &amp; day</t>
  </si>
  <si>
    <t>South Africa</t>
  </si>
  <si>
    <t>Pakistan</t>
  </si>
  <si>
    <t>USD 85 / box &amp; day</t>
  </si>
  <si>
    <t>Kuwait</t>
  </si>
  <si>
    <t>USD 30 / box &amp; day</t>
  </si>
  <si>
    <t>North America</t>
  </si>
  <si>
    <t>United States</t>
  </si>
  <si>
    <t>Canada</t>
  </si>
  <si>
    <t>North Europe</t>
  </si>
  <si>
    <t>Denmark, Estonia, Great Britain, Iceland, Ireland, Latvia,Lithuania</t>
  </si>
  <si>
    <t>Austria, Belgium, Czech Republic, France, Germany,Hungary, Luxemburg, the Netherlands Slovakia, Switzerland, Sweden</t>
  </si>
  <si>
    <t>Finland, Poland</t>
  </si>
  <si>
    <t>Norway, Russia</t>
  </si>
  <si>
    <t>South Europe</t>
  </si>
  <si>
    <t>Italy, Spain, Portugal</t>
  </si>
  <si>
    <t>Turkey, Greece</t>
  </si>
  <si>
    <t>Albania, Bulgaria, Croatia, Lebanon, Romania, Slovenia</t>
  </si>
  <si>
    <t>USD 10 / box &amp; day</t>
  </si>
  <si>
    <t>USD 15 / box &amp; day</t>
  </si>
  <si>
    <t>USD 40 / box &amp; day</t>
  </si>
  <si>
    <t>USD 5 / box &amp; day</t>
  </si>
  <si>
    <t>Cyprus, Ukraine</t>
  </si>
  <si>
    <t>USD 20 / box &amp; day</t>
  </si>
  <si>
    <t>The following containers are excluded from Additional Freetime: reefers (operated or non-operated) and special equipment (in gauge or out of gauge).</t>
  </si>
  <si>
    <r>
      <t>Select the start date</t>
    </r>
    <r>
      <rPr>
        <b/>
        <sz val="11"/>
        <color rgb="FFC00000"/>
        <rFont val="Arial"/>
        <family val="2"/>
      </rPr>
      <t>*</t>
    </r>
    <r>
      <rPr>
        <sz val="11"/>
        <color rgb="FF111565"/>
        <rFont val="Arial"/>
        <family val="2"/>
      </rPr>
      <t>:</t>
    </r>
  </si>
  <si>
    <t xml:space="preserve">China, Vietnam, Thailand, Singapore, Malaysia, Philippines, Laos, Hong Kong, Korea &amp; Taiwan </t>
  </si>
  <si>
    <t>Caribbean, Dominican Republic, Haiti, Curacao, Jamaica, Barbados, Trindad and Tobago, Guyana, Suriname, Puerto Rico</t>
  </si>
  <si>
    <t>Bangladesh</t>
  </si>
  <si>
    <t>USD 16 / box &amp; day</t>
  </si>
  <si>
    <t>USD 32 / box &amp; day</t>
  </si>
  <si>
    <t xml:space="preserve">All </t>
  </si>
  <si>
    <t xml:space="preserve">All other locations </t>
  </si>
  <si>
    <t>D&amp;D Calculations</t>
  </si>
  <si>
    <r>
      <rPr>
        <b/>
        <sz val="11"/>
        <color rgb="FFC00000"/>
        <rFont val="Arial"/>
        <family val="2"/>
      </rPr>
      <t>**</t>
    </r>
    <r>
      <rPr>
        <sz val="11"/>
        <color rgb="FFC00000"/>
        <rFont val="Arial"/>
        <family val="2"/>
      </rPr>
      <t xml:space="preserve">Additional Freetime is currently only offered for </t>
    </r>
    <r>
      <rPr>
        <b/>
        <sz val="11"/>
        <color rgb="FFC00000"/>
        <rFont val="Arial"/>
        <family val="2"/>
      </rPr>
      <t>20 ft. standard shipping container, 40 ft. standard shipping container, and 40 ft. standard High Cube shipping container</t>
    </r>
    <r>
      <rPr>
        <sz val="11"/>
        <color rgb="FFC00000"/>
        <rFont val="Arial"/>
        <family val="2"/>
      </rPr>
      <t xml:space="preserve">. Additional Freetime can also be purchased for containers with </t>
    </r>
    <r>
      <rPr>
        <b/>
        <sz val="11"/>
        <color rgb="FFC00000"/>
        <rFont val="Arial"/>
        <family val="2"/>
      </rPr>
      <t>dangerous goods</t>
    </r>
    <r>
      <rPr>
        <sz val="11"/>
        <color rgb="FFC00000"/>
        <rFont val="Arial"/>
        <family val="2"/>
      </rPr>
      <t>.</t>
    </r>
  </si>
  <si>
    <r>
      <rPr>
        <b/>
        <sz val="11"/>
        <color rgb="FFC00000"/>
        <rFont val="Arial"/>
        <family val="2"/>
      </rPr>
      <t xml:space="preserve"> </t>
    </r>
    <r>
      <rPr>
        <b/>
        <u/>
        <sz val="11"/>
        <color rgb="FF111565"/>
        <rFont val="Arial"/>
        <family val="2"/>
      </rPr>
      <t>https://www.hapag-lloyd.com/en/online-business/book/additional-freetime.html</t>
    </r>
  </si>
  <si>
    <r>
      <rPr>
        <b/>
        <sz val="11"/>
        <color rgb="FFC00000"/>
        <rFont val="Arial"/>
        <family val="2"/>
      </rPr>
      <t>*</t>
    </r>
    <r>
      <rPr>
        <sz val="11"/>
        <color rgb="FFC00000"/>
        <rFont val="Arial"/>
        <family val="2"/>
      </rPr>
      <t xml:space="preserve">Start date can be different according to the country rule; </t>
    </r>
    <r>
      <rPr>
        <b/>
        <sz val="11"/>
        <color rgb="FFC00000"/>
        <rFont val="Arial"/>
        <family val="2"/>
      </rPr>
      <t xml:space="preserve">ETA vessel DIFU, one day after DIFU, etc.. </t>
    </r>
    <r>
      <rPr>
        <sz val="11"/>
        <color rgb="FFC00000"/>
        <rFont val="Arial"/>
        <family val="2"/>
      </rPr>
      <t xml:space="preserve">
We strongly recommend checking the main rule via below link before calculating.</t>
    </r>
  </si>
  <si>
    <r>
      <t>***USD to EURO cell can be changed by user and</t>
    </r>
    <r>
      <rPr>
        <b/>
        <sz val="11"/>
        <color rgb="FFC00000"/>
        <rFont val="Arial"/>
        <family val="2"/>
      </rPr>
      <t xml:space="preserve"> this is not an official rate information.</t>
    </r>
  </si>
  <si>
    <t>Please kindly click below confirmation to go calculator, if you read "Disclaimer" carefuly.</t>
  </si>
  <si>
    <t xml:space="preserve">   DETENTION</t>
  </si>
  <si>
    <t xml:space="preserve">   DEMURRAGE</t>
  </si>
  <si>
    <t xml:space="preserve">   This demurrage &amp; detention calculator is intended to provide you with an estimation of the demurrage and/or detention charges only, as may apply to your shipment based on the dates and number of free days you inserted above. This calculator solely relates to demurrage &amp; detention charges, does not include other charges (such as storage, reefer electricity, chassis, etc.), and is calculated according to the method of demurrage &amp; detention billing applied in our tariff. This calculator does not apply to U.S. ports. The results presented by this calculator are hypothetical, serve as estimation only, are not an offer and have no legal effect. In addition, the results may not reflect the amounts actually billed. In case of a discrepancy between the results presented by this calculator and the actual charges billed in the invoice issued to you, the amounts and information specified on the invoice shall prevail. You should use this calculator at you own discretion. Hapag-Lloyd, its subsidiaries and affiliates are not responsible to any consequences of any decision or actions taken in reliance upon or as a result of the results provided by this calculator.
   The combined D&amp;D period to count from the day of vessel arrival at the discharge port until the day on which the container/s being returned to the carrier's terminal empty.
   For countries do not have combined import D&amp;D charge, demurrage charge calculation is valid from "vessel arrival date" to "gate out full date" and detention charge calculation is valid from "gate out full date" to empty container return date"</t>
  </si>
  <si>
    <r>
      <rPr>
        <b/>
        <sz val="11"/>
        <color rgb="FFC00000"/>
        <rFont val="Arial"/>
        <family val="2"/>
      </rPr>
      <t>*</t>
    </r>
    <r>
      <rPr>
        <b/>
        <sz val="11"/>
        <color rgb="FFFF6600"/>
        <rFont val="Arial"/>
        <family val="2"/>
      </rPr>
      <t>Please make sure from Hapag-Lloyd website, that you are using latest version of D&amp;D calculator.</t>
    </r>
  </si>
  <si>
    <t>Cagliari</t>
  </si>
  <si>
    <t>Civitavecchia</t>
  </si>
  <si>
    <t>Genoa</t>
  </si>
  <si>
    <t>La Spezia</t>
  </si>
  <si>
    <t>Leghorn</t>
  </si>
  <si>
    <t>Select Port:</t>
  </si>
  <si>
    <t>STORAGE CHARGE</t>
  </si>
  <si>
    <t>Naples</t>
  </si>
  <si>
    <t>Full Eqp. Discharge Date:</t>
  </si>
  <si>
    <t>Storage COST With Standard Free-Time:</t>
  </si>
  <si>
    <t>Other Ports (Italy)</t>
  </si>
  <si>
    <t>Full Eqp. Gate Out Date:</t>
  </si>
  <si>
    <t>Ravenna</t>
  </si>
  <si>
    <t>Select the Equipment Type:</t>
  </si>
  <si>
    <t>TOTAL NR. OF DAYS FOR 
"STORAGE" :</t>
  </si>
  <si>
    <t>Venice</t>
  </si>
  <si>
    <t>DEMURRAGE CHARGE</t>
  </si>
  <si>
    <t>Demurage COST With Standard Free-Time:</t>
  </si>
  <si>
    <t>ALL CHARGES 
(Demurrage + Detention + Storage)</t>
  </si>
  <si>
    <t>TOTAL NR. OF DAYS FOR 
"DEMURRAGE" :</t>
  </si>
  <si>
    <t>DETENTION CHARGE</t>
  </si>
  <si>
    <t>Detention COST With Standard Free-Time:</t>
  </si>
  <si>
    <t>Empty Eqp. Delivery Date to depot:</t>
  </si>
  <si>
    <t>TOTAL NR. OF DAYS FOR 
"DETENTION" :</t>
  </si>
  <si>
    <t>Storage COST With Standart Free-Time:</t>
  </si>
  <si>
    <t>Storage COST
After Given Free-Time:</t>
  </si>
  <si>
    <t>STRG free-time</t>
  </si>
  <si>
    <t>round3</t>
  </si>
  <si>
    <t>round4</t>
  </si>
  <si>
    <t>round5</t>
  </si>
  <si>
    <t>Demurage COST With Standart Free-Time:</t>
  </si>
  <si>
    <t>Demurage COST
After Given Free-Time:</t>
  </si>
  <si>
    <t>DMRG free-time</t>
  </si>
  <si>
    <t>Detention COST With Standart Free-Time:</t>
  </si>
  <si>
    <t>Detention COST
After Given Free-Time:</t>
  </si>
  <si>
    <t>Detention free-time</t>
  </si>
  <si>
    <t>Demurrage All Ports</t>
  </si>
  <si>
    <t>Periods</t>
  </si>
  <si>
    <t>Ports</t>
  </si>
  <si>
    <t>Algeciras</t>
  </si>
  <si>
    <t>Spain Dem/Det</t>
  </si>
  <si>
    <t>Plug-in Costs for; Spain all ports excl. Vigo/Marin</t>
  </si>
  <si>
    <t>All Spanish rail terminals</t>
  </si>
  <si>
    <t>Barcelona</t>
  </si>
  <si>
    <t>Eqp. Discharge Date:</t>
  </si>
  <si>
    <t xml:space="preserve">Bilbao &amp; Gijon </t>
  </si>
  <si>
    <t>Eqp. Gates Out of the Terminal:</t>
  </si>
  <si>
    <t>IP Leixoes</t>
  </si>
  <si>
    <t>Portugal Dem/Det</t>
  </si>
  <si>
    <t>Plug-in Costs for; Leixoes</t>
  </si>
  <si>
    <t>IP Leixoes (Imo Cargo)</t>
  </si>
  <si>
    <t xml:space="preserve">IP/ALB Bobadella </t>
  </si>
  <si>
    <t>DEMURRAGE AND DETENTION CHARGE</t>
  </si>
  <si>
    <t>IP/ALB Bobadella (Imo Cargo)</t>
  </si>
  <si>
    <t>Demurage &amp; Detention COST With Standart Free-Time:</t>
  </si>
  <si>
    <t>Leixoes</t>
  </si>
  <si>
    <t>Empty Eqp. Delivery Date to HL Authorities:</t>
  </si>
  <si>
    <t>Demurage &amp; Detention COST
After Given Free-Time:</t>
  </si>
  <si>
    <t>Lisbon (Liscon tmnl)</t>
  </si>
  <si>
    <t>Plug-in Costs for; Lisbon &amp; Sines</t>
  </si>
  <si>
    <t>TOTAL NR. OF DAYS FOR 
"DEMURRAGE &amp; DETENTION" :</t>
  </si>
  <si>
    <t>Lisbon (Sotagus &amp; Tcsa tmnl)</t>
  </si>
  <si>
    <t>Malaga</t>
  </si>
  <si>
    <t>PLUG-IN CHARGE</t>
  </si>
  <si>
    <t>Sagunto</t>
  </si>
  <si>
    <t>PLUG-IN COST With Standart Free-Time:</t>
  </si>
  <si>
    <t>Setubal</t>
  </si>
  <si>
    <t>Sines</t>
  </si>
  <si>
    <t>TOTAL NR. OF DAYS FOR 
"PLUG-IN" CHARGE :</t>
  </si>
  <si>
    <t>Tarragona</t>
  </si>
  <si>
    <t>Valencia</t>
  </si>
  <si>
    <t>Vigo &amp; Marin</t>
  </si>
  <si>
    <t>Plug-in Costs for; Vigo/Marin</t>
  </si>
  <si>
    <t>DMG&amp;DET free-time</t>
  </si>
  <si>
    <t>Plug-in COST With Standart Free-Time:</t>
  </si>
  <si>
    <t>Plug-in COST
After Given Free-Time:</t>
  </si>
  <si>
    <t>Plug-in free-time</t>
  </si>
  <si>
    <t>3rd Period</t>
  </si>
  <si>
    <t>IMPORT D&amp;D CALCULATOR - Region South Europe</t>
  </si>
  <si>
    <r>
      <rPr>
        <b/>
        <sz val="12"/>
        <rFont val="Arial"/>
        <family val="2"/>
      </rPr>
      <t xml:space="preserve">Disclaimer
</t>
    </r>
    <r>
      <rPr>
        <sz val="12"/>
        <rFont val="Arial"/>
        <family val="2"/>
      </rPr>
      <t xml:space="preserve">This demurrage &amp; detention calculator is intended to provide you with an estimation of the demurrage and/or detention charges only, as may apply to your shipment based on the dates and number of free days you inserted above. This calculator solely relates to demurrage &amp; detention charges, does not include other charges (such as storage, reefer electricity, chassis, etc.), and is calculated according to the method of demurrage &amp; detention billing applied in our tariff. This calculator does not apply to U.S. ports. The results presented by this calculator are hypothetical, serve as estimation only, are not an offer and have no legal effect. In addition, the results may not reflect the amounts actually billed. In case of a discrepancy between the results presented by this calculator and the actual charges billed in the invoice issued to you, the amounts and information specified on the invoice shall prevail. You should use this calculator at you own discretion. Hapag-Lloyd, its subsidiaries and affiliates are not responsible to any consequences of any decision or actions taken in reliance upon or as a result of the results provided by this calculator.
</t>
    </r>
  </si>
  <si>
    <t>Fill in the yellow boxes !</t>
  </si>
  <si>
    <t>Angola, Arabian Gulf, Ghana, Senegal, Qatar, Iraq</t>
  </si>
  <si>
    <t>Money saved in case purchasing ADFT (~):</t>
  </si>
  <si>
    <t>Standard days for Demurrage freetime:</t>
  </si>
  <si>
    <t>Standard days for Detention freetime:</t>
  </si>
  <si>
    <t>Standard days for Storage freetime:</t>
  </si>
  <si>
    <r>
      <t>IMPORT D&amp;D CALCULATOR - Italy Imports from "</t>
    </r>
    <r>
      <rPr>
        <b/>
        <u/>
        <sz val="24"/>
        <color theme="1"/>
        <rFont val="Calibri"/>
        <family val="2"/>
        <scheme val="minor"/>
      </rPr>
      <t>North and South America</t>
    </r>
    <r>
      <rPr>
        <b/>
        <sz val="24"/>
        <color theme="1"/>
        <rFont val="Calibri"/>
        <family val="2"/>
        <scheme val="minor"/>
      </rPr>
      <t>"</t>
    </r>
  </si>
  <si>
    <r>
      <t>IMPORT D&amp;D CALCULATOR - Italy Imports from "</t>
    </r>
    <r>
      <rPr>
        <b/>
        <u/>
        <sz val="24"/>
        <color theme="1"/>
        <rFont val="Calibri"/>
        <family val="2"/>
        <scheme val="minor"/>
      </rPr>
      <t>Far East, Oceania, Middle East, Indian Continent, Europe and Africa</t>
    </r>
    <r>
      <rPr>
        <b/>
        <sz val="24"/>
        <color theme="1"/>
        <rFont val="Calibri"/>
        <family val="2"/>
        <scheme val="minor"/>
      </rPr>
      <t>"</t>
    </r>
  </si>
  <si>
    <t>IMPORT D&amp;D CALCULATOR - Iberia Imports</t>
  </si>
  <si>
    <t>40'ft Special</t>
  </si>
  <si>
    <t>Standard days for Plug-In charge freetime:</t>
  </si>
  <si>
    <t>Standard days for Dem.&amp;Det. freetime:</t>
  </si>
  <si>
    <r>
      <t xml:space="preserve">
</t>
    </r>
    <r>
      <rPr>
        <sz val="11"/>
        <color rgb="FFFF6600"/>
        <rFont val="Arial"/>
        <family val="2"/>
      </rPr>
      <t>At destination (import perspective)</t>
    </r>
    <r>
      <rPr>
        <sz val="11"/>
        <color theme="1"/>
        <rFont val="Arial"/>
        <family val="2"/>
      </rPr>
      <t xml:space="preserve">
Fee charged to the consignee if a container is picked up from the port or ramp terminal after the agreed freetime period.
</t>
    </r>
    <r>
      <rPr>
        <sz val="11"/>
        <color rgb="FFFF6600"/>
        <rFont val="Arial"/>
        <family val="2"/>
      </rPr>
      <t>At origin (export perspective)</t>
    </r>
    <r>
      <rPr>
        <sz val="11"/>
        <color theme="1"/>
        <rFont val="Arial"/>
        <family val="2"/>
      </rPr>
      <t xml:space="preserve">
Fee charged to the merchant when the delivering of the container to the port or ramp terminal too early, exceeding the granted freetime period.</t>
    </r>
  </si>
  <si>
    <r>
      <rPr>
        <sz val="11"/>
        <color rgb="FFFF6600"/>
        <rFont val="Arial"/>
        <family val="2"/>
      </rPr>
      <t xml:space="preserve">
At destination (import perspective)
</t>
    </r>
    <r>
      <rPr>
        <sz val="11"/>
        <color theme="1"/>
        <rFont val="Arial"/>
        <family val="2"/>
      </rPr>
      <t xml:space="preserve">Fee charged to the merchant when the container is returned (empty) beyond the granted freetime period.
</t>
    </r>
    <r>
      <rPr>
        <sz val="11"/>
        <color rgb="FFFF6600"/>
        <rFont val="Arial"/>
        <family val="2"/>
      </rPr>
      <t xml:space="preserve">At origin (export perspective)
</t>
    </r>
    <r>
      <rPr>
        <sz val="11"/>
        <color theme="1"/>
        <rFont val="Arial"/>
        <family val="2"/>
      </rPr>
      <t>Fee charged to the merchant if the time between pick up of empty container and deliver to the port of loading exceeds beyond granted freetime period.</t>
    </r>
  </si>
  <si>
    <t>D&amp;D cost with Standard Freetime from tariff:</t>
  </si>
  <si>
    <t>D&amp;D cost with Freetime agreed with Hapag-Lloyd:</t>
  </si>
  <si>
    <t>Demu. &amp; Det. COST With Standart Free-Time:</t>
  </si>
  <si>
    <t>&lt;make selection&gt;</t>
  </si>
  <si>
    <t>Freetime days from tariff (default):</t>
  </si>
  <si>
    <t>Additional Freetime day agreed with Hapag-Lloyd:</t>
  </si>
  <si>
    <t>*The following containers are excluded from Additional Freetime: reefers (operated or non-operated) and special equipment (in gauge or out of gauge).</t>
  </si>
  <si>
    <r>
      <t>**USD / EUR parity can be changed by user and</t>
    </r>
    <r>
      <rPr>
        <b/>
        <sz val="11"/>
        <color rgb="FFC00000"/>
        <rFont val="Arial"/>
        <family val="2"/>
      </rPr>
      <t xml:space="preserve"> this is not an official rate information.</t>
    </r>
  </si>
  <si>
    <t xml:space="preserve"> https://www.hapag-lloyd.com/en/online-business/book/additional-freetime.html</t>
  </si>
  <si>
    <t>**USD / EUR parity can be changed by user and this is not an official rate information.</t>
  </si>
  <si>
    <t>Storage &amp; Demurrage &amp; Detention Costs after ADFT purchase: *</t>
  </si>
  <si>
    <t>ALL CHARGES 
"Demurrage + Detention + Storage + Plug-In costs"</t>
  </si>
  <si>
    <t xml:space="preserve"> "Storage &amp; Demurrage &amp; Detention &amp; Plug" Costs With Standard Freetime:</t>
  </si>
  <si>
    <t>US/EUR Rate Of Exchange **</t>
  </si>
  <si>
    <r>
      <rPr>
        <b/>
        <sz val="9"/>
        <color rgb="FF111565"/>
        <rFont val="Arial"/>
        <family val="2"/>
      </rPr>
      <t>US/EUR Rate Of Exchange</t>
    </r>
    <r>
      <rPr>
        <b/>
        <sz val="9"/>
        <color rgb="FFC00000"/>
        <rFont val="Arial"/>
        <family val="2"/>
      </rPr>
      <t>***</t>
    </r>
  </si>
  <si>
    <t>"Storage &amp; Demurrage &amp; Detention" Costs With Standard Freetime:</t>
  </si>
  <si>
    <r>
      <rPr>
        <b/>
        <sz val="14"/>
        <color theme="0"/>
        <rFont val="Wingdings"/>
        <charset val="2"/>
      </rPr>
      <t>l</t>
    </r>
    <r>
      <rPr>
        <b/>
        <sz val="11.2"/>
        <color theme="0"/>
        <rFont val="Arial"/>
        <family val="2"/>
      </rPr>
      <t xml:space="preserve"> </t>
    </r>
    <r>
      <rPr>
        <b/>
        <sz val="14"/>
        <color theme="0"/>
        <rFont val="Arial"/>
        <family val="2"/>
      </rPr>
      <t>"Strg. &amp; Dem. &amp; Det." Costs With Freetime Agreed with Hapag-Lloyd:</t>
    </r>
  </si>
  <si>
    <r>
      <rPr>
        <b/>
        <sz val="14"/>
        <color theme="0"/>
        <rFont val="Wingdings"/>
        <charset val="2"/>
      </rPr>
      <t>l</t>
    </r>
    <r>
      <rPr>
        <b/>
        <sz val="11.2"/>
        <color theme="0"/>
        <rFont val="Arial"/>
        <family val="2"/>
      </rPr>
      <t xml:space="preserve"> </t>
    </r>
    <r>
      <rPr>
        <b/>
        <sz val="14"/>
        <color theme="0"/>
        <rFont val="Arial"/>
        <family val="2"/>
      </rPr>
      <t>"Strg. &amp; Dem. &amp; Det. &amp; Plug" Costs With Freetime Agreed with Hapag-Lloyd:</t>
    </r>
  </si>
  <si>
    <r>
      <rPr>
        <b/>
        <sz val="9"/>
        <color theme="0"/>
        <rFont val="Wingdings"/>
        <charset val="2"/>
      </rPr>
      <t>l</t>
    </r>
    <r>
      <rPr>
        <b/>
        <sz val="7.2"/>
        <color theme="0"/>
        <rFont val="Calibri"/>
        <family val="2"/>
      </rPr>
      <t xml:space="preserve"> </t>
    </r>
    <r>
      <rPr>
        <b/>
        <sz val="9"/>
        <rFont val="Calibri"/>
        <family val="2"/>
        <scheme val="minor"/>
      </rPr>
      <t>Strg. COST per contract Free-Time agreed with Hapag-Lloyd:</t>
    </r>
  </si>
  <si>
    <r>
      <rPr>
        <b/>
        <sz val="9"/>
        <color theme="0"/>
        <rFont val="Wingdings"/>
        <charset val="2"/>
      </rPr>
      <t>l</t>
    </r>
    <r>
      <rPr>
        <b/>
        <sz val="7.2"/>
        <color theme="0"/>
        <rFont val="Calibri"/>
        <family val="2"/>
      </rPr>
      <t xml:space="preserve"> </t>
    </r>
    <r>
      <rPr>
        <b/>
        <sz val="9"/>
        <rFont val="Calibri"/>
        <family val="2"/>
        <scheme val="minor"/>
      </rPr>
      <t>Det. COST per contract Free-Time agreed with Hapag-Lloyd:</t>
    </r>
  </si>
  <si>
    <r>
      <rPr>
        <b/>
        <sz val="9"/>
        <color theme="0"/>
        <rFont val="Wingdings"/>
        <charset val="2"/>
      </rPr>
      <t>l</t>
    </r>
    <r>
      <rPr>
        <b/>
        <sz val="7.2"/>
        <color theme="0"/>
        <rFont val="Calibri"/>
        <family val="2"/>
      </rPr>
      <t xml:space="preserve"> </t>
    </r>
    <r>
      <rPr>
        <b/>
        <sz val="9"/>
        <rFont val="Calibri"/>
        <family val="2"/>
        <scheme val="minor"/>
      </rPr>
      <t>Dem. COST per contract Free-Time agreed with Hapag-Lloyd:</t>
    </r>
  </si>
  <si>
    <r>
      <rPr>
        <b/>
        <sz val="7.2"/>
        <color theme="0"/>
        <rFont val="Wingdings"/>
        <charset val="2"/>
      </rPr>
      <t>l</t>
    </r>
    <r>
      <rPr>
        <b/>
        <sz val="7.2"/>
        <color theme="0"/>
        <rFont val="Calibri"/>
        <family val="2"/>
        <charset val="2"/>
      </rPr>
      <t xml:space="preserve"> </t>
    </r>
    <r>
      <rPr>
        <b/>
        <sz val="9"/>
        <rFont val="Calibri"/>
        <family val="2"/>
        <charset val="2"/>
        <scheme val="minor"/>
      </rPr>
      <t>Strg. COST per contract Free-Time agreed with Hapag-Lloyd:</t>
    </r>
  </si>
  <si>
    <r>
      <rPr>
        <b/>
        <sz val="9"/>
        <color theme="0"/>
        <rFont val="Wingdings"/>
        <charset val="2"/>
      </rPr>
      <t>l</t>
    </r>
    <r>
      <rPr>
        <b/>
        <sz val="7.2"/>
        <color theme="0"/>
        <rFont val="Calibri"/>
        <family val="2"/>
        <charset val="2"/>
      </rPr>
      <t xml:space="preserve"> </t>
    </r>
    <r>
      <rPr>
        <b/>
        <sz val="9"/>
        <rFont val="Calibri"/>
        <family val="2"/>
        <charset val="2"/>
        <scheme val="minor"/>
      </rPr>
      <t>Dem. COST per contract Free-Time agreed with Hapag-Lloyd:</t>
    </r>
  </si>
  <si>
    <r>
      <rPr>
        <b/>
        <sz val="9"/>
        <color theme="0"/>
        <rFont val="Wingdings"/>
        <charset val="2"/>
      </rPr>
      <t>l</t>
    </r>
    <r>
      <rPr>
        <b/>
        <sz val="7.2"/>
        <color theme="0"/>
        <rFont val="Calibri"/>
        <family val="2"/>
        <charset val="2"/>
      </rPr>
      <t xml:space="preserve"> </t>
    </r>
    <r>
      <rPr>
        <b/>
        <sz val="9"/>
        <rFont val="Calibri"/>
        <family val="2"/>
        <charset val="2"/>
        <scheme val="minor"/>
      </rPr>
      <t>Det. COST per contract Free-Time agreed with Hapag-Lloyd:</t>
    </r>
  </si>
  <si>
    <r>
      <rPr>
        <b/>
        <sz val="10"/>
        <color theme="0"/>
        <rFont val="Wingdings"/>
        <charset val="2"/>
      </rPr>
      <t>l</t>
    </r>
    <r>
      <rPr>
        <b/>
        <sz val="10"/>
        <color theme="0"/>
        <rFont val="Arial"/>
        <family val="2"/>
      </rPr>
      <t xml:space="preserve"> </t>
    </r>
    <r>
      <rPr>
        <b/>
        <sz val="10"/>
        <rFont val="Arial"/>
        <family val="2"/>
      </rPr>
      <t>Please enter total number of free-time days  for demurrage granted by your contract</t>
    </r>
  </si>
  <si>
    <r>
      <rPr>
        <b/>
        <sz val="10"/>
        <color theme="0"/>
        <rFont val="Wingdings"/>
        <charset val="2"/>
      </rPr>
      <t>l</t>
    </r>
    <r>
      <rPr>
        <b/>
        <sz val="8"/>
        <color theme="0"/>
        <rFont val="Arial"/>
        <family val="2"/>
      </rPr>
      <t xml:space="preserve"> </t>
    </r>
    <r>
      <rPr>
        <b/>
        <sz val="10"/>
        <rFont val="Arial"/>
        <family val="2"/>
      </rPr>
      <t>Please enter total number of free-time days for detention granted by your contract</t>
    </r>
  </si>
  <si>
    <r>
      <rPr>
        <b/>
        <sz val="10"/>
        <color theme="0"/>
        <rFont val="Wingdings"/>
        <charset val="2"/>
      </rPr>
      <t>l</t>
    </r>
    <r>
      <rPr>
        <b/>
        <sz val="10"/>
        <rFont val="Arial"/>
        <family val="2"/>
      </rPr>
      <t xml:space="preserve"> Please enter total number of free-time daysfor storage  granted by your contract</t>
    </r>
  </si>
  <si>
    <r>
      <rPr>
        <b/>
        <sz val="10"/>
        <color theme="0"/>
        <rFont val="Wingdings"/>
        <charset val="2"/>
      </rPr>
      <t>l</t>
    </r>
    <r>
      <rPr>
        <b/>
        <sz val="8"/>
        <rFont val="Arial"/>
        <family val="2"/>
      </rPr>
      <t xml:space="preserve"> </t>
    </r>
    <r>
      <rPr>
        <b/>
        <sz val="10"/>
        <rFont val="Arial"/>
        <family val="2"/>
      </rPr>
      <t>If any, please enter Special Freetime for "Storage" agreed with Hapag-Lloyd :</t>
    </r>
  </si>
  <si>
    <r>
      <rPr>
        <b/>
        <sz val="10"/>
        <color theme="0"/>
        <rFont val="Wingdings"/>
        <charset val="2"/>
      </rPr>
      <t>l</t>
    </r>
    <r>
      <rPr>
        <b/>
        <sz val="8"/>
        <rFont val="Arial"/>
        <family val="2"/>
      </rPr>
      <t xml:space="preserve"> </t>
    </r>
    <r>
      <rPr>
        <b/>
        <sz val="10"/>
        <rFont val="Arial"/>
        <family val="2"/>
      </rPr>
      <t>If any, please enter Special Freetime for "Dem. &amp; Det." agreed with Hapag-Lloyd:</t>
    </r>
  </si>
  <si>
    <r>
      <rPr>
        <b/>
        <sz val="10"/>
        <color theme="0"/>
        <rFont val="Wingdings"/>
        <charset val="2"/>
      </rPr>
      <t>l</t>
    </r>
    <r>
      <rPr>
        <b/>
        <sz val="8"/>
        <color theme="0"/>
        <rFont val="Arial"/>
        <family val="2"/>
      </rPr>
      <t xml:space="preserve"> </t>
    </r>
    <r>
      <rPr>
        <b/>
        <sz val="10"/>
        <rFont val="Arial"/>
        <family val="2"/>
      </rPr>
      <t>If any, please enter Special Freetime for "PLUG-IN" agreed with Hapag-Lloyd:</t>
    </r>
  </si>
  <si>
    <r>
      <rPr>
        <b/>
        <sz val="10"/>
        <color theme="0"/>
        <rFont val="Wingdings"/>
        <charset val="2"/>
      </rPr>
      <t>l</t>
    </r>
    <r>
      <rPr>
        <b/>
        <sz val="8"/>
        <color theme="0"/>
        <rFont val="Calibri"/>
        <family val="2"/>
        <charset val="2"/>
      </rPr>
      <t xml:space="preserve"> </t>
    </r>
    <r>
      <rPr>
        <b/>
        <sz val="10"/>
        <rFont val="Calibri"/>
        <family val="2"/>
        <charset val="2"/>
        <scheme val="minor"/>
      </rPr>
      <t>Storage COST per contract Free-Time agreed with Hapag-Lloyd:</t>
    </r>
  </si>
  <si>
    <r>
      <rPr>
        <b/>
        <sz val="10"/>
        <color theme="0"/>
        <rFont val="Wingdings"/>
        <charset val="2"/>
      </rPr>
      <t>l</t>
    </r>
    <r>
      <rPr>
        <b/>
        <sz val="8"/>
        <color theme="0"/>
        <rFont val="Calibri"/>
        <family val="2"/>
        <charset val="2"/>
      </rPr>
      <t xml:space="preserve"> </t>
    </r>
    <r>
      <rPr>
        <b/>
        <sz val="10"/>
        <rFont val="Calibri"/>
        <family val="2"/>
        <charset val="2"/>
        <scheme val="minor"/>
      </rPr>
      <t>Dem. &amp; Det. COST per contract Free-Time agreed with Hapag-Lloyd:</t>
    </r>
  </si>
  <si>
    <r>
      <rPr>
        <b/>
        <sz val="10"/>
        <color theme="0"/>
        <rFont val="Wingdings"/>
        <charset val="2"/>
      </rPr>
      <t>l</t>
    </r>
    <r>
      <rPr>
        <b/>
        <sz val="8"/>
        <color theme="0"/>
        <rFont val="Calibri"/>
        <family val="2"/>
        <charset val="2"/>
      </rPr>
      <t xml:space="preserve"> </t>
    </r>
    <r>
      <rPr>
        <b/>
        <sz val="10"/>
        <rFont val="Calibri"/>
        <family val="2"/>
        <charset val="2"/>
        <scheme val="minor"/>
      </rPr>
      <t>PLUG-IN COST per contract Free-Time agreed with Hapag-Lloyd:</t>
    </r>
  </si>
  <si>
    <t>Turkiye</t>
  </si>
  <si>
    <t>Spain</t>
  </si>
  <si>
    <t>Morocco</t>
  </si>
  <si>
    <t>MAD</t>
  </si>
  <si>
    <t>MAPTM</t>
  </si>
  <si>
    <t xml:space="preserve">Port </t>
  </si>
  <si>
    <t>Terminals</t>
  </si>
  <si>
    <t>Description</t>
  </si>
  <si>
    <t>All Terminals</t>
  </si>
  <si>
    <t>Plugging</t>
  </si>
  <si>
    <t>MACAS</t>
  </si>
  <si>
    <t>Somaport</t>
  </si>
  <si>
    <t>Storage</t>
  </si>
  <si>
    <t>Invoiced by Terminal to Customers DIRECTLY</t>
  </si>
  <si>
    <t>Monitoring</t>
  </si>
  <si>
    <t>Marsa Maroc</t>
  </si>
  <si>
    <t>MAAGA</t>
  </si>
  <si>
    <t>Agadir Terminal</t>
  </si>
  <si>
    <t>Plugging &amp; Monitoring</t>
  </si>
  <si>
    <t>x</t>
  </si>
  <si>
    <t>MAPTM-All Terminals</t>
  </si>
  <si>
    <t>MACAS-Somaport</t>
  </si>
  <si>
    <t>MACAS-Marsa Maroc</t>
  </si>
  <si>
    <t>MAAGA-Agadir Terminal</t>
  </si>
  <si>
    <t>Days for Storage</t>
  </si>
  <si>
    <t>Equipment</t>
  </si>
  <si>
    <t>Tarrifs (MAD)</t>
  </si>
  <si>
    <t>Equipment Size:</t>
  </si>
  <si>
    <t>MAPTM-All Terminals-Storage - Dry-20'ft General</t>
  </si>
  <si>
    <t>Period 1</t>
  </si>
  <si>
    <t>Period 2</t>
  </si>
  <si>
    <t>Period 3</t>
  </si>
  <si>
    <t>Days to cover</t>
  </si>
  <si>
    <t>Daily Charge</t>
  </si>
  <si>
    <t>Total
Storage Charge</t>
  </si>
  <si>
    <t>Total Sto. With HL Addtl. Freetime</t>
  </si>
  <si>
    <t>Dry</t>
  </si>
  <si>
    <t>Reefer</t>
  </si>
  <si>
    <t>IMO</t>
  </si>
  <si>
    <t>OOG</t>
  </si>
  <si>
    <t xml:space="preserve"> </t>
  </si>
  <si>
    <t>Total Freetime day agreed with Hapag-Lloyd:</t>
  </si>
  <si>
    <t>Free-time</t>
  </si>
  <si>
    <t>20'ft</t>
  </si>
  <si>
    <t>40/45'ft</t>
  </si>
  <si>
    <t>Period (Days)</t>
  </si>
  <si>
    <t>Total cost in case purchasing ADFT</t>
  </si>
  <si>
    <r>
      <rPr>
        <b/>
        <sz val="9"/>
        <color rgb="FF111565"/>
        <rFont val="Arial"/>
        <family val="2"/>
      </rPr>
      <t>US/MAD Rate Of Exchange</t>
    </r>
    <r>
      <rPr>
        <b/>
        <sz val="9"/>
        <color rgb="FFC00000"/>
        <rFont val="Arial"/>
        <family val="2"/>
      </rPr>
      <t>***</t>
    </r>
  </si>
  <si>
    <t>required ADFT days</t>
  </si>
  <si>
    <t>Total Sto. With HL Addtl. Freetime + ADFT</t>
  </si>
  <si>
    <t>Country:</t>
  </si>
  <si>
    <t>Israel, Morocco</t>
  </si>
  <si>
    <t xml:space="preserve">1 US dollar vs. MAD "Rate Of Exchange" </t>
  </si>
  <si>
    <t>***</t>
  </si>
  <si>
    <t>"Total cost in case purchasing ADFT (~):"</t>
  </si>
  <si>
    <t>Demurrage Costs 
"Surestaires"</t>
  </si>
  <si>
    <t>Storage &amp; Plugging Costs
"Magasinage"</t>
  </si>
  <si>
    <r>
      <t xml:space="preserve">Date after the discharge of the cntr / Date de Déchargement + 1 jour </t>
    </r>
    <r>
      <rPr>
        <b/>
        <sz val="16"/>
        <color rgb="FFC00000"/>
        <rFont val="Arial"/>
        <family val="2"/>
      </rPr>
      <t>*</t>
    </r>
  </si>
  <si>
    <r>
      <rPr>
        <b/>
        <sz val="8"/>
        <rFont val="Arial"/>
        <family val="2"/>
      </rPr>
      <t xml:space="preserve">Return of empty cntr / date de restitution </t>
    </r>
    <r>
      <rPr>
        <b/>
        <sz val="11"/>
        <rFont val="Arial"/>
        <family val="2"/>
      </rPr>
      <t xml:space="preserve"> </t>
    </r>
    <r>
      <rPr>
        <b/>
        <sz val="16"/>
        <color rgb="FFC00000"/>
        <rFont val="Arial"/>
        <family val="2"/>
      </rPr>
      <t>*</t>
    </r>
  </si>
  <si>
    <t xml:space="preserve">Date of discharge of the cntr / Date de Déchargement </t>
  </si>
  <si>
    <t>Full Eqp. Gate Out Date / Date de sortie plein</t>
  </si>
  <si>
    <t>Storage COST With Standard Free-Time 
"Montant de magasinages avec franchise standard"</t>
  </si>
  <si>
    <r>
      <t xml:space="preserve">Demurrage COST With Standard Free-Time 
</t>
    </r>
    <r>
      <rPr>
        <sz val="7.5"/>
        <color rgb="FF111565"/>
        <rFont val="Arial"/>
        <family val="2"/>
      </rPr>
      <t>"Montant de surestarie avec franchise standard" </t>
    </r>
  </si>
  <si>
    <r>
      <t xml:space="preserve">Dem. COST per contract Free-Time agreed with HapagLloyd </t>
    </r>
    <r>
      <rPr>
        <sz val="7"/>
        <color rgb="FF111565"/>
        <rFont val="Arial"/>
        <family val="2"/>
      </rPr>
      <t xml:space="preserve">
</t>
    </r>
    <r>
      <rPr>
        <sz val="7.5"/>
        <color rgb="FF111565"/>
        <rFont val="Arial"/>
        <family val="2"/>
      </rPr>
      <t>"Montant de surestarie avec franchise accordée par HapagLloyd"</t>
    </r>
  </si>
  <si>
    <t xml:space="preserve">Plug-In COST With Standard Free-Time </t>
  </si>
  <si>
    <t xml:space="preserve">Monitoring COST With Standard Free-Time </t>
  </si>
  <si>
    <t xml:space="preserve">Plug-In &amp; Monitoring COST With Standard Free-Time </t>
  </si>
  <si>
    <t xml:space="preserve">TOTAL COST With Standard Free-Time </t>
  </si>
  <si>
    <t>Demurrage Charge Table</t>
  </si>
  <si>
    <r>
      <t xml:space="preserve">Additional Freetime (ADFT) Calculations </t>
    </r>
    <r>
      <rPr>
        <b/>
        <sz val="16"/>
        <color rgb="FFC00000"/>
        <rFont val="Arial"/>
        <family val="2"/>
      </rPr>
      <t xml:space="preserve">**
</t>
    </r>
    <r>
      <rPr>
        <i/>
        <sz val="9"/>
        <color rgb="FF111565"/>
        <rFont val="Arial"/>
        <family val="2"/>
      </rPr>
      <t>(Please Read Notes on the table at right --&gt; )</t>
    </r>
  </si>
  <si>
    <r>
      <t xml:space="preserve">Additional Freetime (ADFT) Calculations
</t>
    </r>
    <r>
      <rPr>
        <b/>
        <sz val="14"/>
        <color rgb="FFC00000"/>
        <rFont val="Arial"/>
        <family val="2"/>
      </rPr>
      <t>**</t>
    </r>
    <r>
      <rPr>
        <b/>
        <i/>
        <sz val="9"/>
        <color rgb="FF111565"/>
        <rFont val="Arial"/>
        <family val="2"/>
      </rPr>
      <t xml:space="preserve"> </t>
    </r>
    <r>
      <rPr>
        <i/>
        <sz val="9"/>
        <color rgb="FF111565"/>
        <rFont val="Arial"/>
        <family val="2"/>
      </rPr>
      <t>Please read the notes below</t>
    </r>
  </si>
  <si>
    <t>↓</t>
  </si>
  <si>
    <t>Please make selections</t>
  </si>
  <si>
    <t>*Regional tax for MACAS terminal is calculated as 3%.</t>
  </si>
  <si>
    <r>
      <rPr>
        <b/>
        <sz val="12"/>
        <color rgb="FF111565"/>
        <rFont val="Arial"/>
        <family val="2"/>
      </rPr>
      <t xml:space="preserve">TOTAL COST With Standard Free-Time After Taxes </t>
    </r>
    <r>
      <rPr>
        <sz val="12"/>
        <color rgb="FF111565"/>
        <rFont val="Arial"/>
        <family val="2"/>
      </rPr>
      <t xml:space="preserve">
</t>
    </r>
    <r>
      <rPr>
        <sz val="10"/>
        <color rgb="FFC00000"/>
        <rFont val="Arial"/>
        <family val="2"/>
      </rPr>
      <t>(</t>
    </r>
    <r>
      <rPr>
        <b/>
        <sz val="10"/>
        <color rgb="FFC00000"/>
        <rFont val="Arial"/>
        <family val="2"/>
      </rPr>
      <t>Regional Tax</t>
    </r>
    <r>
      <rPr>
        <sz val="10"/>
        <color rgb="FFC00000"/>
        <rFont val="Arial"/>
        <family val="2"/>
      </rPr>
      <t xml:space="preserve"> and </t>
    </r>
    <r>
      <rPr>
        <b/>
        <sz val="10"/>
        <color rgb="FFC00000"/>
        <rFont val="Arial"/>
        <family val="2"/>
      </rPr>
      <t>TVA "20%"</t>
    </r>
    <r>
      <rPr>
        <sz val="10"/>
        <color rgb="FFC00000"/>
        <rFont val="Arial"/>
        <family val="2"/>
      </rPr>
      <t xml:space="preserve"> applied)</t>
    </r>
  </si>
  <si>
    <r>
      <rPr>
        <b/>
        <sz val="11"/>
        <color rgb="FF111565"/>
        <rFont val="Arial"/>
        <family val="2"/>
      </rPr>
      <t>TOTAL COST With Standard Free-Time After Regional Tax</t>
    </r>
    <r>
      <rPr>
        <b/>
        <sz val="12"/>
        <color rgb="FF111565"/>
        <rFont val="Arial"/>
        <family val="2"/>
      </rPr>
      <t xml:space="preserve"> </t>
    </r>
    <r>
      <rPr>
        <sz val="12"/>
        <color rgb="FF111565"/>
        <rFont val="Arial"/>
        <family val="2"/>
      </rPr>
      <t xml:space="preserve">
</t>
    </r>
    <r>
      <rPr>
        <sz val="10"/>
        <color rgb="FFC00000"/>
        <rFont val="Arial"/>
        <family val="2"/>
      </rPr>
      <t xml:space="preserve">(Only </t>
    </r>
    <r>
      <rPr>
        <b/>
        <sz val="10"/>
        <color rgb="FFC00000"/>
        <rFont val="Arial"/>
        <family val="2"/>
      </rPr>
      <t>Regional Tax "4%"</t>
    </r>
    <r>
      <rPr>
        <sz val="10"/>
        <color rgb="FFC00000"/>
        <rFont val="Arial"/>
        <family val="2"/>
      </rPr>
      <t xml:space="preserve"> is applied")</t>
    </r>
  </si>
  <si>
    <r>
      <rPr>
        <sz val="14"/>
        <color rgb="FFC00000"/>
        <rFont val="Calibri"/>
        <family val="2"/>
        <scheme val="minor"/>
      </rPr>
      <t>*</t>
    </r>
    <r>
      <rPr>
        <sz val="10"/>
        <color rgb="FFC00000"/>
        <rFont val="Calibri"/>
        <family val="2"/>
        <scheme val="minor"/>
      </rPr>
      <t xml:space="preserve"> </t>
    </r>
    <r>
      <rPr>
        <sz val="10"/>
        <color theme="1"/>
        <rFont val="Calibri"/>
        <family val="2"/>
        <scheme val="minor"/>
      </rPr>
      <t>Start and End dates can be different according to the country rule; 
ETA vessel, Discharge date and time.. 
We strongly recommend checking the main rule via below link before calculating.</t>
    </r>
  </si>
  <si>
    <r>
      <rPr>
        <sz val="14"/>
        <color rgb="FFC00000"/>
        <rFont val="Calibri"/>
        <family val="2"/>
        <scheme val="minor"/>
      </rPr>
      <t>**</t>
    </r>
    <r>
      <rPr>
        <sz val="11"/>
        <color theme="1"/>
        <rFont val="Calibri"/>
        <family val="2"/>
        <scheme val="minor"/>
      </rPr>
      <t>Additional Freetime is currently only offered for the following container types; 
20' standart, 40' standart and 40' standart highcube.</t>
    </r>
  </si>
  <si>
    <r>
      <rPr>
        <sz val="14"/>
        <color rgb="FFC00000"/>
        <rFont val="Calibri"/>
        <family val="2"/>
        <scheme val="minor"/>
      </rPr>
      <t>***</t>
    </r>
    <r>
      <rPr>
        <sz val="9"/>
        <color theme="1"/>
        <rFont val="Calibri"/>
        <family val="2"/>
        <scheme val="minor"/>
      </rPr>
      <t>USD to MAD cell can be changed by user and this is not an official rate information.</t>
    </r>
  </si>
  <si>
    <r>
      <t>Last Update: 11/04/2023</t>
    </r>
    <r>
      <rPr>
        <b/>
        <sz val="11"/>
        <color rgb="FFC00000"/>
        <rFont val="Arial"/>
        <family val="2"/>
      </rPr>
      <t>*</t>
    </r>
  </si>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</sst>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
    <numFmt numFmtId="166" formatCode="#,##0;\(#,##0\);"/>
    <numFmt numFmtId="167" formatCode="mm/dd/yy;@"/>
  </numFmts>
  <fonts count="106">
    <font>
      <sz val="11"/>
      <color theme="1"/>
      <name val="Calibri"/>
      <family val="2"/>
      <scheme val="minor"/>
    </font>
    <font>
      <sz val="10"/>
      <color theme="1"/>
      <name val="Arial"/>
      <family val="2"/>
    </font>
    <font>
      <sz val="10"/>
      <color theme="1"/>
      <name val="Arial"/>
      <family val="2"/>
    </font>
    <font>
      <sz val="10"/>
      <color theme="1"/>
      <name val="Arial"/>
      <family val="2"/>
      <charset val="162"/>
    </font>
    <font>
      <b/>
      <sz val="11"/>
      <color theme="1"/>
      <name val="Arial"/>
      <family val="2"/>
    </font>
    <font>
      <b/>
      <sz val="12"/>
      <color theme="1"/>
      <name val="Arial"/>
      <family val="2"/>
    </font>
    <font>
      <b/>
      <sz val="14"/>
      <color theme="1"/>
      <name val="Arial"/>
      <family val="2"/>
    </font>
    <font>
      <sz val="11"/>
      <color theme="1"/>
      <name val="Arial"/>
      <family val="2"/>
    </font>
    <font>
      <sz val="11"/>
      <color rgb="FFC00000"/>
      <name val="Arial"/>
      <family val="2"/>
    </font>
    <font>
      <b/>
      <sz val="11"/>
      <color rgb="FFC00000"/>
      <name val="Arial"/>
      <family val="2"/>
    </font>
    <font>
      <u/>
      <sz val="11"/>
      <color theme="10"/>
      <name val="Calibri"/>
      <family val="2"/>
      <scheme val="minor"/>
    </font>
    <font>
      <u/>
      <sz val="11"/>
      <color rgb="FFC00000"/>
      <name val="Arial"/>
      <family val="2"/>
    </font>
    <font>
      <b/>
      <sz val="11"/>
      <name val="Arial"/>
      <family val="2"/>
    </font>
    <font>
      <sz val="11"/>
      <name val="Arial"/>
      <family val="2"/>
    </font>
    <font>
      <b/>
      <sz val="12"/>
      <color rgb="FFFF6600"/>
      <name val="Arial"/>
      <family val="2"/>
    </font>
    <font>
      <b/>
      <sz val="12"/>
      <color rgb="FF111565"/>
      <name val="Arial"/>
      <family val="2"/>
    </font>
    <font>
      <sz val="11"/>
      <color rgb="FF000000"/>
      <name val="Arial"/>
      <family val="2"/>
    </font>
    <font>
      <sz val="11"/>
      <color theme="0"/>
      <name val="Arial"/>
      <family val="2"/>
    </font>
    <font>
      <b/>
      <sz val="11"/>
      <color rgb="FF111565"/>
      <name val="Arial"/>
      <family val="2"/>
    </font>
    <font>
      <b/>
      <sz val="11"/>
      <color rgb="FFFF6600"/>
      <name val="Arial"/>
      <family val="2"/>
    </font>
    <font>
      <b/>
      <sz val="12"/>
      <color theme="2"/>
      <name val="Arial"/>
      <family val="2"/>
    </font>
    <font>
      <sz val="11"/>
      <color rgb="FF111565"/>
      <name val="Arial"/>
      <family val="2"/>
    </font>
    <font>
      <b/>
      <u/>
      <sz val="11"/>
      <color rgb="FFFF6600"/>
      <name val="Arial"/>
      <family val="2"/>
    </font>
    <font>
      <b/>
      <u/>
      <sz val="11"/>
      <color rgb="FF111565"/>
      <name val="Arial"/>
      <family val="2"/>
    </font>
    <font>
      <sz val="8"/>
      <color rgb="FF000000"/>
      <name val="Segoe UI"/>
      <family val="2"/>
    </font>
    <font>
      <sz val="11"/>
      <color rgb="FFFF6600"/>
      <name val="Arial"/>
      <family val="2"/>
    </font>
    <font>
      <sz val="11"/>
      <color theme="0"/>
      <name val="Calibri"/>
      <family val="2"/>
      <scheme val="minor"/>
    </font>
    <font>
      <b/>
      <sz val="24"/>
      <name val="Calibri"/>
      <family val="2"/>
      <scheme val="minor"/>
    </font>
    <font>
      <b/>
      <sz val="9"/>
      <name val="Calibri"/>
      <family val="2"/>
      <scheme val="minor"/>
    </font>
    <font>
      <b/>
      <sz val="18"/>
      <name val="Calibri"/>
      <family val="2"/>
      <scheme val="minor"/>
    </font>
    <font>
      <b/>
      <sz val="10"/>
      <name val="Arial"/>
      <family val="2"/>
    </font>
    <font>
      <b/>
      <sz val="18"/>
      <name val="Arial"/>
      <family val="2"/>
    </font>
    <font>
      <b/>
      <sz val="9"/>
      <color indexed="81"/>
      <name val="Tahoma"/>
      <family val="2"/>
    </font>
    <font>
      <b/>
      <sz val="14"/>
      <color theme="0"/>
      <name val="Calibri"/>
      <family val="2"/>
      <scheme val="minor"/>
    </font>
    <font>
      <sz val="10"/>
      <color theme="0"/>
      <name val="Calibri"/>
      <family val="2"/>
      <scheme val="minor"/>
    </font>
    <font>
      <b/>
      <sz val="8"/>
      <name val="Calibri"/>
      <family val="2"/>
      <scheme val="minor"/>
    </font>
    <font>
      <sz val="11"/>
      <color theme="1"/>
      <name val="Calibri"/>
      <family val="2"/>
      <scheme val="minor"/>
    </font>
    <font>
      <sz val="11"/>
      <color rgb="FFFF0000"/>
      <name val="Arial"/>
      <family val="2"/>
    </font>
    <font>
      <b/>
      <sz val="22"/>
      <color theme="1"/>
      <name val="Arial"/>
      <family val="2"/>
    </font>
    <font>
      <sz val="11"/>
      <name val="Calibri"/>
      <family val="2"/>
      <scheme val="minor"/>
    </font>
    <font>
      <b/>
      <u/>
      <sz val="14"/>
      <name val="Arial"/>
      <family val="2"/>
    </font>
    <font>
      <sz val="14"/>
      <name val="Calibri"/>
      <family val="2"/>
      <scheme val="minor"/>
    </font>
    <font>
      <sz val="14"/>
      <name val="Arial"/>
      <family val="2"/>
    </font>
    <font>
      <sz val="12"/>
      <name val="Arial"/>
      <family val="2"/>
    </font>
    <font>
      <b/>
      <sz val="12"/>
      <name val="Arial"/>
      <family val="2"/>
    </font>
    <font>
      <b/>
      <sz val="14"/>
      <name val="Arial"/>
      <family val="2"/>
    </font>
    <font>
      <sz val="8"/>
      <name val="Arial"/>
      <family val="2"/>
    </font>
    <font>
      <b/>
      <sz val="22"/>
      <name val="Calibri"/>
      <family val="2"/>
      <scheme val="minor"/>
    </font>
    <font>
      <b/>
      <u/>
      <sz val="22"/>
      <name val="Calibri"/>
      <family val="2"/>
      <scheme val="minor"/>
    </font>
    <font>
      <b/>
      <sz val="16"/>
      <name val="Arial"/>
      <family val="2"/>
    </font>
    <font>
      <b/>
      <sz val="22"/>
      <name val="Arial"/>
      <family val="2"/>
    </font>
    <font>
      <sz val="10"/>
      <name val="Arial"/>
      <family val="2"/>
    </font>
    <font>
      <b/>
      <sz val="24"/>
      <color theme="1"/>
      <name val="Calibri"/>
      <family val="2"/>
      <scheme val="minor"/>
    </font>
    <font>
      <b/>
      <u/>
      <sz val="24"/>
      <color theme="1"/>
      <name val="Calibri"/>
      <family val="2"/>
      <scheme val="minor"/>
    </font>
    <font>
      <b/>
      <u/>
      <sz val="11"/>
      <color theme="4" tint="-0.499984740745262"/>
      <name val="Arial"/>
      <family val="2"/>
    </font>
    <font>
      <b/>
      <sz val="9"/>
      <color theme="1"/>
      <name val="Arial"/>
      <family val="2"/>
    </font>
    <font>
      <b/>
      <sz val="9"/>
      <color rgb="FF111565"/>
      <name val="Arial"/>
      <family val="2"/>
    </font>
    <font>
      <b/>
      <sz val="9"/>
      <color rgb="FFC00000"/>
      <name val="Arial"/>
      <family val="2"/>
    </font>
    <font>
      <b/>
      <sz val="22"/>
      <color theme="0"/>
      <name val="Calibri"/>
      <family val="2"/>
      <scheme val="minor"/>
    </font>
    <font>
      <b/>
      <sz val="14"/>
      <color theme="0"/>
      <name val="Arial"/>
      <family val="2"/>
    </font>
    <font>
      <b/>
      <sz val="22"/>
      <color theme="0"/>
      <name val="Arial"/>
      <family val="2"/>
    </font>
    <font>
      <b/>
      <sz val="20"/>
      <color theme="0"/>
      <name val="Calibri"/>
      <family val="2"/>
      <scheme val="minor"/>
    </font>
    <font>
      <b/>
      <sz val="10"/>
      <color theme="0"/>
      <name val="Arial"/>
      <family val="2"/>
    </font>
    <font>
      <b/>
      <sz val="10"/>
      <color theme="0"/>
      <name val="Wingdings"/>
      <charset val="2"/>
    </font>
    <font>
      <b/>
      <sz val="8"/>
      <color theme="0"/>
      <name val="Arial"/>
      <family val="2"/>
    </font>
    <font>
      <b/>
      <sz val="10"/>
      <color theme="0"/>
      <name val="Arial"/>
      <family val="2"/>
      <charset val="2"/>
    </font>
    <font>
      <b/>
      <sz val="14"/>
      <color theme="0"/>
      <name val="Wingdings"/>
      <charset val="2"/>
    </font>
    <font>
      <b/>
      <sz val="11.2"/>
      <color theme="0"/>
      <name val="Arial"/>
      <family val="2"/>
    </font>
    <font>
      <b/>
      <sz val="14"/>
      <color theme="0"/>
      <name val="Arial"/>
      <family val="2"/>
      <charset val="2"/>
    </font>
    <font>
      <b/>
      <sz val="9"/>
      <color theme="0"/>
      <name val="Wingdings"/>
      <charset val="2"/>
    </font>
    <font>
      <b/>
      <sz val="7.2"/>
      <color theme="0"/>
      <name val="Calibri"/>
      <family val="2"/>
    </font>
    <font>
      <b/>
      <sz val="9"/>
      <name val="Calibri"/>
      <family val="2"/>
      <charset val="2"/>
      <scheme val="minor"/>
    </font>
    <font>
      <b/>
      <sz val="7.2"/>
      <color theme="0"/>
      <name val="Wingdings"/>
      <charset val="2"/>
    </font>
    <font>
      <b/>
      <sz val="7.2"/>
      <color theme="0"/>
      <name val="Calibri"/>
      <family val="2"/>
      <charset val="2"/>
    </font>
    <font>
      <b/>
      <sz val="8"/>
      <name val="Arial"/>
      <family val="2"/>
    </font>
    <font>
      <b/>
      <sz val="10"/>
      <name val="Calibri"/>
      <family val="2"/>
      <charset val="2"/>
      <scheme val="minor"/>
    </font>
    <font>
      <b/>
      <sz val="8"/>
      <color theme="0"/>
      <name val="Calibri"/>
      <family val="2"/>
      <charset val="2"/>
    </font>
    <font>
      <sz val="8"/>
      <name val="Calibri"/>
      <family val="2"/>
      <scheme val="minor"/>
    </font>
    <font>
      <sz val="11"/>
      <color theme="2"/>
      <name val="Arial"/>
      <family val="2"/>
    </font>
    <font>
      <sz val="10"/>
      <color theme="1"/>
      <name val="Times New Roman"/>
      <family val="1"/>
    </font>
    <font>
      <b/>
      <sz val="11"/>
      <color rgb="FF000000"/>
      <name val="Arial"/>
      <family val="2"/>
    </font>
    <font>
      <b/>
      <sz val="11"/>
      <color rgb="FFFF0000"/>
      <name val="Arial"/>
      <family val="2"/>
    </font>
    <font>
      <b/>
      <sz val="10"/>
      <color rgb="FF000000"/>
      <name val="Arial"/>
      <family val="2"/>
    </font>
    <font>
      <sz val="10"/>
      <color rgb="FF000000"/>
      <name val="Arial"/>
      <family val="2"/>
    </font>
    <font>
      <b/>
      <sz val="11"/>
      <color theme="1"/>
      <name val="Calibri"/>
      <family val="2"/>
      <scheme val="minor"/>
    </font>
    <font>
      <b/>
      <sz val="9"/>
      <color theme="1"/>
      <name val="Calibri"/>
      <family val="2"/>
      <scheme val="minor"/>
    </font>
    <font>
      <b/>
      <sz val="9"/>
      <name val="Arial"/>
      <family val="2"/>
    </font>
    <font>
      <sz val="9"/>
      <color theme="1"/>
      <name val="Calibri"/>
      <family val="2"/>
      <scheme val="minor"/>
    </font>
    <font>
      <b/>
      <sz val="14"/>
      <color theme="1"/>
      <name val="Calibri"/>
      <family val="2"/>
      <scheme val="minor"/>
    </font>
    <font>
      <sz val="18"/>
      <color theme="1"/>
      <name val="Calibri"/>
      <family val="2"/>
      <scheme val="minor"/>
    </font>
    <font>
      <sz val="10"/>
      <color theme="1"/>
      <name val="Calibri"/>
      <family val="2"/>
      <scheme val="minor"/>
    </font>
    <font>
      <sz val="10"/>
      <color rgb="FFC00000"/>
      <name val="Calibri"/>
      <family val="2"/>
      <scheme val="minor"/>
    </font>
    <font>
      <sz val="14"/>
      <color rgb="FFC00000"/>
      <name val="Calibri"/>
      <family val="2"/>
      <scheme val="minor"/>
    </font>
    <font>
      <b/>
      <sz val="14"/>
      <color rgb="FFC00000"/>
      <name val="Arial"/>
      <family val="2"/>
    </font>
    <font>
      <b/>
      <sz val="16"/>
      <color rgb="FFC00000"/>
      <name val="Arial"/>
      <family val="2"/>
    </font>
    <font>
      <sz val="7"/>
      <color rgb="FF111565"/>
      <name val="Arial"/>
      <family val="2"/>
    </font>
    <font>
      <sz val="7.5"/>
      <color rgb="FF111565"/>
      <name val="Arial"/>
      <family val="2"/>
    </font>
    <font>
      <b/>
      <sz val="18"/>
      <color theme="1"/>
      <name val="Calibri"/>
      <family val="2"/>
      <scheme val="minor"/>
    </font>
    <font>
      <sz val="12"/>
      <color rgb="FF111565"/>
      <name val="Arial"/>
      <family val="2"/>
    </font>
    <font>
      <sz val="10"/>
      <color rgb="FFC00000"/>
      <name val="Arial"/>
      <family val="2"/>
    </font>
    <font>
      <i/>
      <sz val="9"/>
      <color rgb="FF111565"/>
      <name val="Arial"/>
      <family val="2"/>
    </font>
    <font>
      <b/>
      <i/>
      <sz val="9"/>
      <color rgb="FF111565"/>
      <name val="Arial"/>
      <family val="2"/>
    </font>
    <font>
      <b/>
      <sz val="11"/>
      <name val="Calibri"/>
      <family val="2"/>
    </font>
    <font>
      <i/>
      <sz val="11"/>
      <color theme="1"/>
      <name val="Calibri"/>
      <family val="2"/>
      <scheme val="minor"/>
    </font>
    <font>
      <b/>
      <sz val="10"/>
      <color rgb="FFC00000"/>
      <name val="Arial"/>
      <family val="2"/>
    </font>
    <font>
      <b/>
      <sz val="10"/>
      <color theme="1"/>
      <name val="Arial"/>
      <family val="2"/>
    </font>
  </fonts>
  <fills count="29">
    <fill>
      <patternFill patternType="none"/>
    </fill>
    <fill>
      <patternFill patternType="gray125"/>
    </fill>
    <fill>
      <patternFill patternType="solid">
        <fgColor theme="2"/>
        <bgColor indexed="64"/>
      </patternFill>
    </fill>
    <fill>
      <patternFill patternType="solid">
        <fgColor rgb="FFFF6600"/>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249977111117893"/>
        <bgColor indexed="64"/>
      </patternFill>
    </fill>
    <fill>
      <patternFill patternType="solid">
        <fgColor rgb="FF11156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1" tint="0.14999847407452621"/>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rgb="FF708090"/>
        <bgColor indexed="64"/>
      </patternFill>
    </fill>
    <fill>
      <patternFill patternType="solid">
        <fgColor rgb="FF5F9EA0"/>
        <bgColor indexed="64"/>
      </patternFill>
    </fill>
    <fill>
      <patternFill patternType="solid">
        <fgColor rgb="FFFA8072"/>
        <bgColor indexed="64"/>
      </patternFill>
    </fill>
    <fill>
      <patternFill patternType="solid">
        <fgColor rgb="FFFFC000"/>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2" tint="-9.9978637043366805E-2"/>
        <bgColor indexed="64"/>
      </patternFill>
    </fill>
  </fills>
  <borders count="172">
    <border>
      <left/>
      <right/>
      <top/>
      <bottom/>
      <diagonal/>
    </border>
    <border>
      <left/>
      <right/>
      <top style="thin">
        <color rgb="FFEC7C30"/>
      </top>
      <bottom/>
      <diagonal/>
    </border>
    <border>
      <left style="thin">
        <color rgb="FFECECEC"/>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top/>
      <bottom/>
      <diagonal/>
    </border>
    <border>
      <left/>
      <right/>
      <top/>
      <bottom style="hair">
        <color auto="1"/>
      </bottom>
      <diagonal/>
    </border>
    <border>
      <left/>
      <right/>
      <top style="hair">
        <color auto="1"/>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dotted">
        <color theme="0"/>
      </left>
      <right style="dotted">
        <color theme="0"/>
      </right>
      <top/>
      <bottom style="dotted">
        <color theme="0"/>
      </bottom>
      <diagonal/>
    </border>
    <border>
      <left style="dotted">
        <color theme="0"/>
      </left>
      <right/>
      <top style="dotted">
        <color theme="0"/>
      </top>
      <bottom style="dotted">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dotted">
        <color theme="0"/>
      </left>
      <right style="dotted">
        <color theme="0"/>
      </right>
      <top style="dotted">
        <color theme="0"/>
      </top>
      <bottom style="dotted">
        <color theme="0"/>
      </bottom>
      <diagonal/>
    </border>
    <border>
      <left/>
      <right/>
      <top style="thin">
        <color theme="0"/>
      </top>
      <bottom style="thin">
        <color theme="0"/>
      </bottom>
      <diagonal/>
    </border>
    <border>
      <left style="dotted">
        <color theme="0"/>
      </left>
      <right/>
      <top/>
      <bottom style="dotted">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right style="thin">
        <color theme="0"/>
      </right>
      <top style="thin">
        <color theme="0"/>
      </top>
      <bottom/>
      <diagonal/>
    </border>
    <border>
      <left/>
      <right style="thin">
        <color theme="0"/>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0"/>
      </right>
      <top style="thin">
        <color indexed="64"/>
      </top>
      <bottom/>
      <diagonal/>
    </border>
    <border>
      <left style="thin">
        <color theme="0"/>
      </left>
      <right style="medium">
        <color indexed="64"/>
      </right>
      <top style="thin">
        <color indexed="64"/>
      </top>
      <bottom/>
      <diagonal/>
    </border>
    <border>
      <left style="medium">
        <color indexed="64"/>
      </left>
      <right style="thin">
        <color theme="0"/>
      </right>
      <top/>
      <bottom style="thin">
        <color indexed="64"/>
      </bottom>
      <diagonal/>
    </border>
    <border>
      <left style="thin">
        <color theme="0"/>
      </left>
      <right style="medium">
        <color indexed="64"/>
      </right>
      <top/>
      <bottom style="thin">
        <color indexed="64"/>
      </bottom>
      <diagonal/>
    </border>
    <border>
      <left style="medium">
        <color indexed="64"/>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right style="thin">
        <color theme="0"/>
      </right>
      <top style="thin">
        <color indexed="64"/>
      </top>
      <bottom style="thin">
        <color indexed="64"/>
      </bottom>
      <diagonal/>
    </border>
    <border>
      <left/>
      <right style="thin">
        <color theme="0"/>
      </right>
      <top/>
      <bottom style="thin">
        <color indexed="64"/>
      </bottom>
      <diagonal/>
    </border>
    <border>
      <left style="medium">
        <color indexed="64"/>
      </left>
      <right/>
      <top style="thin">
        <color indexed="64"/>
      </top>
      <bottom/>
      <diagonal/>
    </border>
    <border>
      <left/>
      <right style="thin">
        <color theme="0"/>
      </right>
      <top style="thin">
        <color indexed="64"/>
      </top>
      <bottom/>
      <diagonal/>
    </border>
    <border>
      <left/>
      <right style="thin">
        <color theme="0"/>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theme="0"/>
      </left>
      <right/>
      <top style="thin">
        <color indexed="64"/>
      </top>
      <bottom style="thin">
        <color indexed="64"/>
      </bottom>
      <diagonal/>
    </border>
    <border>
      <left style="thin">
        <color rgb="FF969696"/>
      </left>
      <right style="thin">
        <color rgb="FF969696"/>
      </right>
      <top style="thin">
        <color rgb="FF969696"/>
      </top>
      <bottom style="thin">
        <color rgb="FF969696"/>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theme="0"/>
      </right>
      <top style="thin">
        <color indexed="64"/>
      </top>
      <bottom style="medium">
        <color indexed="64"/>
      </bottom>
      <diagonal/>
    </border>
    <border>
      <left style="thin">
        <color theme="0"/>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right style="thin">
        <color theme="0"/>
      </right>
      <top style="thin">
        <color indexed="64"/>
      </top>
      <bottom style="medium">
        <color indexed="64"/>
      </bottom>
      <diagonal/>
    </border>
    <border>
      <left style="thin">
        <color theme="0"/>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style="medium">
        <color theme="0"/>
      </right>
      <top/>
      <bottom style="medium">
        <color theme="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top style="medium">
        <color rgb="FF000000"/>
      </top>
      <bottom/>
      <diagonal/>
    </border>
    <border>
      <left style="thin">
        <color theme="0"/>
      </left>
      <right style="medium">
        <color indexed="64"/>
      </right>
      <top style="medium">
        <color indexed="64"/>
      </top>
      <bottom/>
      <diagonal/>
    </border>
    <border>
      <left/>
      <right style="thin">
        <color theme="0"/>
      </right>
      <top/>
      <bottom style="thin">
        <color theme="0"/>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bottom style="thin">
        <color theme="1" tint="0.249977111117893"/>
      </bottom>
      <diagonal/>
    </border>
    <border>
      <left style="medium">
        <color theme="1" tint="0.249977111117893"/>
      </left>
      <right style="medium">
        <color theme="1" tint="0.249977111117893"/>
      </right>
      <top style="medium">
        <color theme="1" tint="0.249977111117893"/>
      </top>
      <bottom style="medium">
        <color theme="1" tint="0.249977111117893"/>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style="thin">
        <color theme="1" tint="0.249977111117893"/>
      </right>
      <top style="thin">
        <color theme="1" tint="0.249977111117893"/>
      </top>
      <bottom style="medium">
        <color theme="1" tint="0.249977111117893"/>
      </bottom>
      <diagonal/>
    </border>
    <border>
      <left/>
      <right style="medium">
        <color indexed="64"/>
      </right>
      <top style="medium">
        <color indexed="64"/>
      </top>
      <bottom style="medium">
        <color theme="1" tint="0.249977111117893"/>
      </bottom>
      <diagonal/>
    </border>
    <border>
      <left style="medium">
        <color indexed="64"/>
      </left>
      <right style="medium">
        <color indexed="64"/>
      </right>
      <top style="medium">
        <color indexed="64"/>
      </top>
      <bottom style="medium">
        <color theme="1" tint="0.249977111117893"/>
      </bottom>
      <diagonal/>
    </border>
    <border>
      <left style="thin">
        <color theme="1" tint="0.249977111117893"/>
      </left>
      <right/>
      <top style="thin">
        <color theme="1" tint="0.249977111117893"/>
      </top>
      <bottom style="medium">
        <color theme="1" tint="0.249977111117893"/>
      </bottom>
      <diagonal/>
    </border>
    <border>
      <left style="thin">
        <color theme="1" tint="0.249977111117893"/>
      </left>
      <right/>
      <top style="thin">
        <color theme="1" tint="0.249977111117893"/>
      </top>
      <bottom style="thin">
        <color theme="1" tint="0.249977111117893"/>
      </bottom>
      <diagonal/>
    </border>
    <border>
      <left style="medium">
        <color theme="1" tint="0.249977111117893"/>
      </left>
      <right style="medium">
        <color theme="1" tint="0.249977111117893"/>
      </right>
      <top/>
      <bottom/>
      <diagonal/>
    </border>
    <border>
      <left style="medium">
        <color theme="1" tint="0.249977111117893"/>
      </left>
      <right style="medium">
        <color theme="1" tint="0.249977111117893"/>
      </right>
      <top/>
      <bottom style="medium">
        <color indexed="64"/>
      </bottom>
      <diagonal/>
    </border>
    <border>
      <left style="medium">
        <color theme="1" tint="0.249977111117893"/>
      </left>
      <right style="medium">
        <color theme="1" tint="0.249977111117893"/>
      </right>
      <top style="medium">
        <color indexed="64"/>
      </top>
      <bottom style="medium">
        <color theme="1" tint="0.249977111117893"/>
      </bottom>
      <diagonal/>
    </border>
    <border>
      <left/>
      <right style="hair">
        <color auto="1"/>
      </right>
      <top/>
      <bottom/>
      <diagonal/>
    </border>
    <border>
      <left style="hair">
        <color auto="1"/>
      </left>
      <right style="hair">
        <color auto="1"/>
      </right>
      <top style="hair">
        <color auto="1"/>
      </top>
      <bottom/>
      <diagonal/>
    </border>
    <border>
      <left style="hair">
        <color auto="1"/>
      </left>
      <right/>
      <top style="medium">
        <color indexed="64"/>
      </top>
      <bottom style="hair">
        <color auto="1"/>
      </bottom>
      <diagonal/>
    </border>
    <border>
      <left/>
      <right/>
      <top style="medium">
        <color indexed="64"/>
      </top>
      <bottom style="hair">
        <color auto="1"/>
      </bottom>
      <diagonal/>
    </border>
    <border>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hair">
        <color auto="1"/>
      </right>
      <top/>
      <bottom style="hair">
        <color auto="1"/>
      </bottom>
      <diagonal/>
    </border>
    <border>
      <left style="medium">
        <color indexed="64"/>
      </left>
      <right style="hair">
        <color indexed="64"/>
      </right>
      <top style="hair">
        <color auto="1"/>
      </top>
      <bottom style="hair">
        <color indexed="64"/>
      </bottom>
      <diagonal/>
    </border>
    <border>
      <left style="medium">
        <color indexed="64"/>
      </left>
      <right style="hair">
        <color auto="1"/>
      </right>
      <top style="medium">
        <color indexed="64"/>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medium">
        <color indexed="64"/>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style="hair">
        <color indexed="64"/>
      </right>
      <top style="hair">
        <color auto="1"/>
      </top>
      <bottom/>
      <diagonal/>
    </border>
    <border>
      <left style="double">
        <color indexed="64"/>
      </left>
      <right/>
      <top style="hair">
        <color auto="1"/>
      </top>
      <bottom style="double">
        <color indexed="64"/>
      </bottom>
      <diagonal/>
    </border>
    <border>
      <left/>
      <right/>
      <top style="hair">
        <color auto="1"/>
      </top>
      <bottom style="double">
        <color indexed="64"/>
      </bottom>
      <diagonal/>
    </border>
    <border>
      <left/>
      <right style="hair">
        <color auto="1"/>
      </right>
      <top style="hair">
        <color auto="1"/>
      </top>
      <bottom style="double">
        <color indexed="64"/>
      </bottom>
      <diagonal/>
    </border>
    <border>
      <left style="hair">
        <color auto="1"/>
      </left>
      <right style="double">
        <color indexed="64"/>
      </right>
      <top style="hair">
        <color auto="1"/>
      </top>
      <bottom style="double">
        <color indexed="64"/>
      </bottom>
      <diagonal/>
    </border>
    <border>
      <left style="double">
        <color indexed="64"/>
      </left>
      <right/>
      <top/>
      <bottom/>
      <diagonal/>
    </border>
    <border>
      <left style="hair">
        <color auto="1"/>
      </left>
      <right style="double">
        <color indexed="64"/>
      </right>
      <top/>
      <bottom style="hair">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0" tint="-0.34998626667073579"/>
      </left>
      <right/>
      <top style="double">
        <color theme="0" tint="-0.34998626667073579"/>
      </top>
      <bottom style="hair">
        <color theme="0" tint="-0.34998626667073579"/>
      </bottom>
      <diagonal/>
    </border>
    <border>
      <left/>
      <right/>
      <top style="double">
        <color theme="0" tint="-0.34998626667073579"/>
      </top>
      <bottom style="hair">
        <color theme="0" tint="-0.34998626667073579"/>
      </bottom>
      <diagonal/>
    </border>
    <border>
      <left/>
      <right style="hair">
        <color theme="0" tint="-0.34998626667073579"/>
      </right>
      <top style="double">
        <color theme="0" tint="-0.34998626667073579"/>
      </top>
      <bottom style="hair">
        <color theme="0" tint="-0.34998626667073579"/>
      </bottom>
      <diagonal/>
    </border>
    <border>
      <left/>
      <right style="double">
        <color theme="0" tint="-0.34998626667073579"/>
      </right>
      <top style="double">
        <color theme="0" tint="-0.34998626667073579"/>
      </top>
      <bottom style="hair">
        <color theme="0" tint="-0.34998626667073579"/>
      </bottom>
      <diagonal/>
    </border>
    <border>
      <left style="double">
        <color theme="0" tint="-0.34998626667073579"/>
      </left>
      <right/>
      <top/>
      <bottom/>
      <diagonal/>
    </border>
    <border>
      <left style="double">
        <color theme="0" tint="-0.34998626667073579"/>
      </left>
      <right/>
      <top/>
      <bottom style="double">
        <color theme="0" tint="-0.34998626667073579"/>
      </bottom>
      <diagonal/>
    </border>
    <border>
      <left/>
      <right/>
      <top/>
      <bottom style="double">
        <color theme="0" tint="-0.34998626667073579"/>
      </bottom>
      <diagonal/>
    </border>
    <border>
      <left/>
      <right style="hair">
        <color theme="0" tint="-0.34998626667073579"/>
      </right>
      <top/>
      <bottom style="double">
        <color theme="0" tint="-0.34998626667073579"/>
      </bottom>
      <diagonal/>
    </border>
    <border>
      <left/>
      <right style="double">
        <color theme="0" tint="-0.34998626667073579"/>
      </right>
      <top/>
      <bottom style="double">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double">
        <color theme="0" tint="-0.34998626667073579"/>
      </right>
      <top style="hair">
        <color theme="0" tint="-0.34998626667073579"/>
      </top>
      <bottom style="hair">
        <color theme="0" tint="-0.34998626667073579"/>
      </bottom>
      <diagonal/>
    </border>
    <border>
      <left style="double">
        <color theme="0" tint="-0.34998626667073579"/>
      </left>
      <right/>
      <top style="hair">
        <color theme="0" tint="-0.34998626667073579"/>
      </top>
      <bottom style="hair">
        <color theme="0" tint="-0.34998626667073579"/>
      </bottom>
      <diagonal/>
    </border>
    <border>
      <left style="hair">
        <color theme="0" tint="-0.34998626667073579"/>
      </left>
      <right style="hair">
        <color theme="0" tint="-0.34998626667073579"/>
      </right>
      <top style="double">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bottom style="double">
        <color theme="0" tint="-0.34998626667073579"/>
      </bottom>
      <diagonal/>
    </border>
  </borders>
  <cellStyleXfs count="6">
    <xf numFmtId="0" fontId="0" fillId="0" borderId="0"/>
    <xf numFmtId="0" fontId="3" fillId="0" borderId="0"/>
    <xf numFmtId="0" fontId="10" fillId="0" borderId="0" applyNumberFormat="0" applyFill="0" applyBorder="0" applyAlignment="0" applyProtection="0"/>
    <xf numFmtId="0" fontId="2" fillId="0" borderId="0"/>
    <xf numFmtId="49" fontId="36" fillId="0" borderId="68" applyProtection="0">
      <alignment horizontal="center" vertical="center" wrapText="1"/>
    </xf>
    <xf numFmtId="0" fontId="1" fillId="0" borderId="0"/>
  </cellStyleXfs>
  <cellXfs count="623">
    <xf numFmtId="0" fontId="0" fillId="0" borderId="0" xfId="0"/>
    <xf numFmtId="0" fontId="6" fillId="0" borderId="0" xfId="0" applyFont="1" applyAlignment="1">
      <alignment vertical="center" wrapText="1"/>
    </xf>
    <xf numFmtId="0" fontId="7" fillId="0" borderId="0" xfId="0" applyFont="1"/>
    <xf numFmtId="0" fontId="4" fillId="0" borderId="0" xfId="0" applyFont="1"/>
    <xf numFmtId="0" fontId="7" fillId="0" borderId="0" xfId="0" applyFont="1" applyAlignment="1">
      <alignment horizontal="center"/>
    </xf>
    <xf numFmtId="0" fontId="7" fillId="0" borderId="0" xfId="0" applyFont="1" applyAlignment="1">
      <alignment wrapText="1"/>
    </xf>
    <xf numFmtId="0" fontId="7" fillId="0" borderId="0" xfId="0" applyFont="1" applyAlignment="1">
      <alignment vertical="center" wrapText="1"/>
    </xf>
    <xf numFmtId="0" fontId="7" fillId="0" borderId="0" xfId="0" applyFont="1" applyAlignment="1">
      <alignment horizontal="center" vertical="center"/>
    </xf>
    <xf numFmtId="0" fontId="7" fillId="0" borderId="0" xfId="0" applyFont="1" applyAlignment="1">
      <alignment horizontal="center" vertical="top" wrapText="1"/>
    </xf>
    <xf numFmtId="0" fontId="5" fillId="0" borderId="0" xfId="0" applyFont="1"/>
    <xf numFmtId="0" fontId="13" fillId="0" borderId="1" xfId="0" applyFont="1" applyBorder="1" applyAlignment="1">
      <alignment horizontal="center" vertical="center"/>
    </xf>
    <xf numFmtId="164" fontId="16" fillId="0" borderId="1" xfId="0" applyNumberFormat="1" applyFont="1" applyBorder="1" applyAlignment="1">
      <alignment horizontal="center" vertical="center" shrinkToFit="1"/>
    </xf>
    <xf numFmtId="0" fontId="7" fillId="0" borderId="1" xfId="0" applyFont="1" applyBorder="1" applyAlignment="1">
      <alignment horizontal="left" vertical="top"/>
    </xf>
    <xf numFmtId="0" fontId="7" fillId="0" borderId="0" xfId="0" applyFont="1" applyAlignment="1">
      <alignment horizontal="left" vertical="top"/>
    </xf>
    <xf numFmtId="0" fontId="12" fillId="0" borderId="0" xfId="0" applyFont="1" applyAlignment="1">
      <alignment horizontal="left" vertical="top"/>
    </xf>
    <xf numFmtId="0" fontId="12" fillId="0" borderId="0" xfId="0" applyFont="1" applyAlignment="1">
      <alignment horizontal="left" vertical="top" wrapText="1"/>
    </xf>
    <xf numFmtId="0" fontId="12" fillId="0" borderId="0" xfId="0" applyFont="1" applyAlignment="1">
      <alignment horizontal="center" vertical="top"/>
    </xf>
    <xf numFmtId="0" fontId="13" fillId="0" borderId="0" xfId="0" applyFont="1" applyAlignment="1">
      <alignment horizontal="left" vertical="center"/>
    </xf>
    <xf numFmtId="0" fontId="13" fillId="0" borderId="0" xfId="0" applyFont="1" applyAlignment="1">
      <alignment horizontal="left" vertical="top" wrapText="1"/>
    </xf>
    <xf numFmtId="164" fontId="16" fillId="0" borderId="0" xfId="0" applyNumberFormat="1" applyFont="1" applyAlignment="1">
      <alignment horizontal="center" vertical="center" shrinkToFit="1"/>
    </xf>
    <xf numFmtId="0" fontId="13" fillId="0" borderId="0" xfId="0" applyFont="1" applyAlignment="1">
      <alignment horizontal="center" vertical="center"/>
    </xf>
    <xf numFmtId="0" fontId="13" fillId="0" borderId="0" xfId="0" applyFont="1" applyAlignment="1">
      <alignment horizontal="left" vertical="top"/>
    </xf>
    <xf numFmtId="0" fontId="13" fillId="0" borderId="2" xfId="0" applyFont="1" applyBorder="1" applyAlignment="1">
      <alignment horizontal="left" vertical="top"/>
    </xf>
    <xf numFmtId="0" fontId="7" fillId="0" borderId="0" xfId="0" applyFont="1" applyAlignment="1">
      <alignment horizontal="left" vertical="top" wrapText="1"/>
    </xf>
    <xf numFmtId="0" fontId="8" fillId="0" borderId="0" xfId="0" applyFont="1" applyAlignment="1">
      <alignment horizontal="left" vertical="top"/>
    </xf>
    <xf numFmtId="0" fontId="9" fillId="0" borderId="0" xfId="0" applyFont="1" applyAlignment="1">
      <alignment horizontal="center" vertical="top"/>
    </xf>
    <xf numFmtId="0" fontId="8" fillId="0" borderId="0" xfId="0" applyFont="1" applyAlignment="1">
      <alignment horizontal="center" vertical="center"/>
    </xf>
    <xf numFmtId="14" fontId="7" fillId="0" borderId="0" xfId="0" applyNumberFormat="1" applyFont="1" applyAlignment="1">
      <alignment horizontal="left" vertical="top"/>
    </xf>
    <xf numFmtId="0" fontId="21" fillId="2" borderId="3" xfId="0" applyFont="1" applyFill="1" applyBorder="1" applyAlignment="1">
      <alignment vertical="center"/>
    </xf>
    <xf numFmtId="0" fontId="4" fillId="2" borderId="3" xfId="0" applyFont="1" applyFill="1" applyBorder="1" applyAlignment="1">
      <alignment horizontal="center" vertical="center"/>
    </xf>
    <xf numFmtId="0" fontId="7" fillId="0" borderId="7" xfId="0" applyFont="1" applyBorder="1"/>
    <xf numFmtId="0" fontId="13" fillId="0" borderId="0" xfId="0" applyFont="1"/>
    <xf numFmtId="0" fontId="17" fillId="0" borderId="0" xfId="0" applyFont="1"/>
    <xf numFmtId="0" fontId="15" fillId="3" borderId="4" xfId="0" applyFont="1" applyFill="1" applyBorder="1" applyAlignment="1">
      <alignment horizontal="center" vertical="center"/>
    </xf>
    <xf numFmtId="0" fontId="20" fillId="2" borderId="4" xfId="0" applyFont="1" applyFill="1" applyBorder="1" applyAlignment="1">
      <alignment horizontal="center" vertical="center"/>
    </xf>
    <xf numFmtId="0" fontId="15" fillId="2" borderId="6" xfId="0" applyFont="1" applyFill="1" applyBorder="1" applyAlignment="1">
      <alignment horizontal="center" vertical="center"/>
    </xf>
    <xf numFmtId="0" fontId="20" fillId="2" borderId="5" xfId="0" applyFont="1" applyFill="1" applyBorder="1" applyAlignment="1">
      <alignment horizontal="center" vertical="center"/>
    </xf>
    <xf numFmtId="14" fontId="17" fillId="0" borderId="0" xfId="0" applyNumberFormat="1" applyFont="1"/>
    <xf numFmtId="0" fontId="19" fillId="2" borderId="3" xfId="0" applyFont="1" applyFill="1" applyBorder="1" applyAlignment="1">
      <alignment horizontal="center" vertical="center"/>
    </xf>
    <xf numFmtId="0" fontId="21" fillId="2" borderId="3" xfId="0" applyFont="1" applyFill="1" applyBorder="1" applyAlignment="1">
      <alignment horizontal="center" vertical="center"/>
    </xf>
    <xf numFmtId="1" fontId="4" fillId="2" borderId="3" xfId="0" applyNumberFormat="1" applyFont="1" applyFill="1" applyBorder="1" applyAlignment="1">
      <alignment horizontal="center" vertical="center"/>
    </xf>
    <xf numFmtId="0" fontId="7" fillId="2" borderId="3" xfId="0" applyFont="1" applyFill="1" applyBorder="1" applyAlignment="1">
      <alignment horizontal="center" vertical="center"/>
    </xf>
    <xf numFmtId="0" fontId="21" fillId="2" borderId="3" xfId="0" applyFont="1" applyFill="1" applyBorder="1" applyAlignment="1">
      <alignment vertical="center" wrapText="1"/>
    </xf>
    <xf numFmtId="0" fontId="19" fillId="0" borderId="0" xfId="0" applyFont="1"/>
    <xf numFmtId="0" fontId="19" fillId="0" borderId="0" xfId="0" applyFont="1" applyAlignment="1">
      <alignment vertical="center"/>
    </xf>
    <xf numFmtId="0" fontId="4" fillId="4" borderId="3" xfId="0" applyFont="1" applyFill="1" applyBorder="1" applyAlignment="1" applyProtection="1">
      <alignment horizontal="center" vertical="center"/>
      <protection locked="0"/>
    </xf>
    <xf numFmtId="0" fontId="7" fillId="0" borderId="0" xfId="0" applyFont="1" applyAlignment="1">
      <alignment vertical="center"/>
    </xf>
    <xf numFmtId="0" fontId="8" fillId="0" borderId="0" xfId="0" applyFont="1" applyAlignment="1">
      <alignment vertical="center"/>
    </xf>
    <xf numFmtId="0" fontId="13" fillId="0" borderId="0" xfId="0" applyFont="1" applyAlignment="1">
      <alignment vertical="center"/>
    </xf>
    <xf numFmtId="0" fontId="17" fillId="0" borderId="0" xfId="0" applyFont="1" applyAlignment="1">
      <alignment vertical="center"/>
    </xf>
    <xf numFmtId="0" fontId="11" fillId="0" borderId="0" xfId="2" applyFont="1" applyAlignment="1" applyProtection="1">
      <alignment horizontal="left" vertical="center"/>
    </xf>
    <xf numFmtId="0" fontId="8" fillId="0" borderId="0" xfId="0" applyFont="1" applyAlignment="1">
      <alignment horizontal="left" vertical="center"/>
    </xf>
    <xf numFmtId="0" fontId="23" fillId="0" borderId="0" xfId="2" applyFont="1" applyAlignment="1" applyProtection="1">
      <alignment horizontal="left" vertical="center"/>
    </xf>
    <xf numFmtId="0" fontId="18" fillId="0" borderId="0" xfId="0" applyFont="1" applyAlignment="1">
      <alignment vertical="center" wrapText="1"/>
    </xf>
    <xf numFmtId="165" fontId="7" fillId="5" borderId="0" xfId="0" applyNumberFormat="1" applyFont="1" applyFill="1" applyAlignment="1">
      <alignment horizontal="center" vertical="center"/>
    </xf>
    <xf numFmtId="0" fontId="18" fillId="0" borderId="0" xfId="0" applyFont="1" applyAlignment="1">
      <alignment horizontal="center"/>
    </xf>
    <xf numFmtId="0" fontId="33" fillId="9" borderId="0" xfId="0" applyFont="1" applyFill="1" applyAlignment="1">
      <alignment horizontal="center" vertical="center"/>
    </xf>
    <xf numFmtId="165" fontId="26" fillId="9" borderId="17" xfId="0" applyNumberFormat="1" applyFont="1" applyFill="1" applyBorder="1" applyAlignment="1">
      <alignment horizontal="center" vertical="center"/>
    </xf>
    <xf numFmtId="0" fontId="34" fillId="9" borderId="20" xfId="0" applyFont="1" applyFill="1" applyBorder="1" applyAlignment="1">
      <alignment horizontal="center" vertical="center"/>
    </xf>
    <xf numFmtId="165" fontId="26" fillId="9" borderId="24" xfId="0" applyNumberFormat="1" applyFont="1" applyFill="1" applyBorder="1" applyAlignment="1">
      <alignment horizontal="center" vertical="center"/>
    </xf>
    <xf numFmtId="0" fontId="26" fillId="9" borderId="18" xfId="0" applyFont="1" applyFill="1" applyBorder="1" applyAlignment="1">
      <alignment horizontal="center" vertical="center"/>
    </xf>
    <xf numFmtId="0" fontId="33" fillId="8" borderId="18" xfId="0" applyFont="1" applyFill="1" applyBorder="1" applyAlignment="1">
      <alignment horizontal="center" vertical="center"/>
    </xf>
    <xf numFmtId="0" fontId="33" fillId="8" borderId="11" xfId="0" applyFont="1" applyFill="1" applyBorder="1" applyAlignment="1">
      <alignment horizontal="center" vertical="center"/>
    </xf>
    <xf numFmtId="0" fontId="26" fillId="8" borderId="11" xfId="0" applyFont="1" applyFill="1" applyBorder="1" applyAlignment="1">
      <alignment horizontal="center" vertical="center"/>
    </xf>
    <xf numFmtId="0" fontId="26" fillId="8" borderId="11" xfId="0" quotePrefix="1" applyFont="1" applyFill="1" applyBorder="1" applyAlignment="1">
      <alignment horizontal="center" vertical="center"/>
    </xf>
    <xf numFmtId="0" fontId="33" fillId="8" borderId="25" xfId="0" applyFont="1" applyFill="1" applyBorder="1" applyAlignment="1">
      <alignment horizontal="center" vertical="center"/>
    </xf>
    <xf numFmtId="0" fontId="26" fillId="8" borderId="25" xfId="0" applyFont="1" applyFill="1" applyBorder="1" applyAlignment="1">
      <alignment horizontal="center" vertical="center"/>
    </xf>
    <xf numFmtId="0" fontId="33" fillId="8" borderId="10" xfId="0" applyFont="1" applyFill="1" applyBorder="1" applyAlignment="1">
      <alignment horizontal="center" vertical="center"/>
    </xf>
    <xf numFmtId="0" fontId="26" fillId="8" borderId="10" xfId="0" applyFont="1" applyFill="1" applyBorder="1" applyAlignment="1">
      <alignment horizontal="center" vertical="center"/>
    </xf>
    <xf numFmtId="0" fontId="0" fillId="0" borderId="0" xfId="0" applyAlignment="1">
      <alignment horizontal="center" vertical="center"/>
    </xf>
    <xf numFmtId="0" fontId="33" fillId="9" borderId="18" xfId="0" applyFont="1" applyFill="1" applyBorder="1" applyAlignment="1">
      <alignment horizontal="center" vertical="center"/>
    </xf>
    <xf numFmtId="0" fontId="33" fillId="9" borderId="11" xfId="0" applyFont="1" applyFill="1" applyBorder="1" applyAlignment="1">
      <alignment horizontal="center" vertical="center"/>
    </xf>
    <xf numFmtId="0" fontId="26" fillId="9" borderId="11" xfId="0" applyFont="1" applyFill="1" applyBorder="1" applyAlignment="1">
      <alignment horizontal="center" vertical="center"/>
    </xf>
    <xf numFmtId="0" fontId="26" fillId="9" borderId="11" xfId="0" quotePrefix="1" applyFont="1" applyFill="1" applyBorder="1" applyAlignment="1">
      <alignment horizontal="center" vertical="center"/>
    </xf>
    <xf numFmtId="0" fontId="33" fillId="9" borderId="10" xfId="0" applyFont="1" applyFill="1" applyBorder="1" applyAlignment="1">
      <alignment horizontal="center" vertical="center"/>
    </xf>
    <xf numFmtId="0" fontId="26" fillId="9" borderId="10" xfId="0" applyFont="1" applyFill="1" applyBorder="1" applyAlignment="1">
      <alignment horizontal="center" vertical="center"/>
    </xf>
    <xf numFmtId="0" fontId="26" fillId="9" borderId="25" xfId="0" applyFont="1" applyFill="1" applyBorder="1" applyAlignment="1">
      <alignment horizontal="center" vertical="center"/>
    </xf>
    <xf numFmtId="0" fontId="33" fillId="8" borderId="26" xfId="0" applyFont="1" applyFill="1" applyBorder="1" applyAlignment="1">
      <alignment horizontal="center" vertical="center"/>
    </xf>
    <xf numFmtId="0" fontId="26" fillId="8" borderId="27" xfId="0" applyFont="1" applyFill="1" applyBorder="1" applyAlignment="1">
      <alignment horizontal="center" vertical="center"/>
    </xf>
    <xf numFmtId="0" fontId="26" fillId="8" borderId="27" xfId="0" quotePrefix="1" applyFont="1" applyFill="1" applyBorder="1" applyAlignment="1">
      <alignment horizontal="center" vertical="center"/>
    </xf>
    <xf numFmtId="0" fontId="33" fillId="8" borderId="28" xfId="0" applyFont="1" applyFill="1" applyBorder="1" applyAlignment="1">
      <alignment horizontal="center" vertical="center"/>
    </xf>
    <xf numFmtId="0" fontId="26" fillId="8" borderId="0" xfId="0" applyFont="1" applyFill="1" applyAlignment="1">
      <alignment horizontal="center" vertical="center"/>
    </xf>
    <xf numFmtId="0" fontId="33" fillId="8" borderId="29" xfId="0" applyFont="1" applyFill="1" applyBorder="1" applyAlignment="1">
      <alignment horizontal="center" vertical="center"/>
    </xf>
    <xf numFmtId="0" fontId="26" fillId="8" borderId="30" xfId="0" applyFont="1" applyFill="1" applyBorder="1" applyAlignment="1">
      <alignment horizontal="center" vertical="center"/>
    </xf>
    <xf numFmtId="0" fontId="26" fillId="9" borderId="0" xfId="0" applyFont="1" applyFill="1" applyAlignment="1">
      <alignment horizontal="center" vertical="center"/>
    </xf>
    <xf numFmtId="0" fontId="33" fillId="9" borderId="28" xfId="0" applyFont="1" applyFill="1" applyBorder="1" applyAlignment="1">
      <alignment horizontal="center" vertical="center"/>
    </xf>
    <xf numFmtId="0" fontId="26" fillId="9" borderId="25" xfId="0" quotePrefix="1" applyFont="1" applyFill="1" applyBorder="1" applyAlignment="1">
      <alignment horizontal="center" vertical="center"/>
    </xf>
    <xf numFmtId="0" fontId="26" fillId="9" borderId="0" xfId="0" quotePrefix="1" applyFont="1" applyFill="1" applyAlignment="1">
      <alignment horizontal="center" vertical="center"/>
    </xf>
    <xf numFmtId="0" fontId="33" fillId="9" borderId="29" xfId="0" applyFont="1" applyFill="1" applyBorder="1" applyAlignment="1">
      <alignment horizontal="center" vertical="center"/>
    </xf>
    <xf numFmtId="0" fontId="26" fillId="9" borderId="30" xfId="0" applyFont="1" applyFill="1" applyBorder="1" applyAlignment="1">
      <alignment horizontal="center" vertical="center"/>
    </xf>
    <xf numFmtId="0" fontId="26" fillId="8" borderId="31" xfId="0" quotePrefix="1" applyFont="1" applyFill="1" applyBorder="1" applyAlignment="1">
      <alignment horizontal="center" vertical="center"/>
    </xf>
    <xf numFmtId="0" fontId="26" fillId="8" borderId="32" xfId="0" applyFont="1" applyFill="1" applyBorder="1" applyAlignment="1">
      <alignment horizontal="center" vertical="center"/>
    </xf>
    <xf numFmtId="0" fontId="33" fillId="9" borderId="25" xfId="0" applyFont="1" applyFill="1" applyBorder="1" applyAlignment="1">
      <alignment horizontal="center" vertical="center"/>
    </xf>
    <xf numFmtId="0" fontId="26" fillId="8" borderId="25" xfId="0" quotePrefix="1" applyFont="1" applyFill="1" applyBorder="1" applyAlignment="1">
      <alignment horizontal="center" vertical="center"/>
    </xf>
    <xf numFmtId="165" fontId="7" fillId="0" borderId="0" xfId="0" applyNumberFormat="1" applyFont="1"/>
    <xf numFmtId="165" fontId="7" fillId="0" borderId="0" xfId="0" applyNumberFormat="1" applyFont="1" applyProtection="1">
      <protection locked="0"/>
    </xf>
    <xf numFmtId="0" fontId="37" fillId="0" borderId="0" xfId="0" applyFont="1"/>
    <xf numFmtId="165" fontId="37" fillId="0" borderId="0" xfId="0" applyNumberFormat="1" applyFont="1"/>
    <xf numFmtId="165" fontId="17" fillId="0" borderId="0" xfId="0" applyNumberFormat="1" applyFont="1"/>
    <xf numFmtId="0" fontId="7" fillId="7" borderId="0" xfId="0" applyFont="1" applyFill="1"/>
    <xf numFmtId="0" fontId="31" fillId="0" borderId="0" xfId="0" applyFont="1" applyAlignment="1">
      <alignment vertical="center"/>
    </xf>
    <xf numFmtId="0" fontId="39" fillId="0" borderId="0" xfId="0" applyFont="1"/>
    <xf numFmtId="0" fontId="41" fillId="0" borderId="0" xfId="0" applyFont="1"/>
    <xf numFmtId="165" fontId="39" fillId="0" borderId="0" xfId="0" applyNumberFormat="1" applyFont="1"/>
    <xf numFmtId="0" fontId="43" fillId="0" borderId="0" xfId="0" applyFont="1" applyAlignment="1">
      <alignment vertical="center" wrapText="1"/>
    </xf>
    <xf numFmtId="0" fontId="35" fillId="0" borderId="13" xfId="0" applyFont="1" applyBorder="1" applyAlignment="1">
      <alignment vertical="top" wrapText="1"/>
    </xf>
    <xf numFmtId="0" fontId="35" fillId="0" borderId="13" xfId="0" applyFont="1" applyBorder="1" applyAlignment="1">
      <alignment horizontal="center" vertical="center"/>
    </xf>
    <xf numFmtId="166" fontId="35" fillId="0" borderId="14" xfId="0" applyNumberFormat="1" applyFont="1" applyBorder="1" applyAlignment="1">
      <alignment horizontal="center" vertical="center"/>
    </xf>
    <xf numFmtId="0" fontId="39" fillId="0" borderId="15" xfId="0" applyFont="1" applyBorder="1"/>
    <xf numFmtId="0" fontId="39" fillId="0" borderId="16" xfId="0" applyFont="1" applyBorder="1"/>
    <xf numFmtId="0" fontId="39" fillId="0" borderId="17" xfId="0" applyFont="1" applyBorder="1"/>
    <xf numFmtId="0" fontId="39" fillId="0" borderId="18" xfId="0" applyFont="1" applyBorder="1"/>
    <xf numFmtId="0" fontId="39" fillId="0" borderId="19" xfId="0" applyFont="1" applyBorder="1"/>
    <xf numFmtId="0" fontId="35" fillId="0" borderId="13" xfId="0" applyFont="1" applyBorder="1" applyAlignment="1">
      <alignment wrapText="1"/>
    </xf>
    <xf numFmtId="0" fontId="39" fillId="0" borderId="20" xfId="0" applyFont="1" applyBorder="1"/>
    <xf numFmtId="0" fontId="39" fillId="0" borderId="21" xfId="0" applyFont="1" applyBorder="1"/>
    <xf numFmtId="0" fontId="47" fillId="0" borderId="12" xfId="0" applyFont="1" applyBorder="1" applyAlignment="1">
      <alignment horizontal="center" vertical="center" wrapText="1"/>
    </xf>
    <xf numFmtId="0" fontId="41" fillId="0" borderId="0" xfId="0" applyFont="1" applyAlignment="1">
      <alignment vertical="center"/>
    </xf>
    <xf numFmtId="0" fontId="13" fillId="0" borderId="33" xfId="0" applyFont="1" applyBorder="1" applyAlignment="1">
      <alignment horizontal="center" vertical="center"/>
    </xf>
    <xf numFmtId="166" fontId="13" fillId="0" borderId="34" xfId="0" applyNumberFormat="1" applyFont="1" applyBorder="1" applyAlignment="1">
      <alignment horizontal="center"/>
    </xf>
    <xf numFmtId="166" fontId="13" fillId="0" borderId="35" xfId="0" applyNumberFormat="1" applyFont="1" applyBorder="1" applyAlignment="1">
      <alignment horizontal="center"/>
    </xf>
    <xf numFmtId="166" fontId="13" fillId="0" borderId="36" xfId="0" applyNumberFormat="1" applyFont="1" applyBorder="1" applyAlignment="1">
      <alignment horizontal="center"/>
    </xf>
    <xf numFmtId="0" fontId="13" fillId="0" borderId="38" xfId="0" applyFont="1" applyBorder="1" applyAlignment="1">
      <alignment horizontal="center" vertical="center"/>
    </xf>
    <xf numFmtId="166" fontId="13" fillId="0" borderId="40" xfId="0" applyNumberFormat="1" applyFont="1" applyBorder="1" applyAlignment="1">
      <alignment horizontal="center"/>
    </xf>
    <xf numFmtId="166" fontId="13" fillId="0" borderId="45" xfId="0" applyNumberFormat="1" applyFont="1" applyBorder="1" applyAlignment="1">
      <alignment horizontal="center"/>
    </xf>
    <xf numFmtId="166" fontId="13" fillId="0" borderId="47" xfId="0" applyNumberFormat="1" applyFont="1" applyBorder="1" applyAlignment="1">
      <alignment horizontal="center"/>
    </xf>
    <xf numFmtId="166" fontId="13" fillId="0" borderId="49" xfId="0" applyNumberFormat="1" applyFont="1" applyBorder="1" applyAlignment="1">
      <alignment horizontal="center"/>
    </xf>
    <xf numFmtId="166" fontId="13" fillId="0" borderId="50" xfId="0" applyNumberFormat="1" applyFont="1" applyBorder="1" applyAlignment="1">
      <alignment horizontal="center"/>
    </xf>
    <xf numFmtId="0" fontId="13" fillId="0" borderId="52" xfId="0" applyFont="1" applyBorder="1" applyAlignment="1">
      <alignment horizontal="center" vertical="center"/>
    </xf>
    <xf numFmtId="165" fontId="13" fillId="0" borderId="53" xfId="0" applyNumberFormat="1" applyFont="1" applyBorder="1" applyAlignment="1">
      <alignment horizontal="center" vertical="center"/>
    </xf>
    <xf numFmtId="0" fontId="13" fillId="0" borderId="54" xfId="0" applyFont="1" applyBorder="1" applyAlignment="1">
      <alignment horizontal="center" vertical="center"/>
    </xf>
    <xf numFmtId="165" fontId="13" fillId="0" borderId="55" xfId="0" applyNumberFormat="1" applyFont="1" applyBorder="1" applyAlignment="1">
      <alignment horizontal="center" vertical="center"/>
    </xf>
    <xf numFmtId="0" fontId="40" fillId="0" borderId="56" xfId="0" applyFont="1" applyBorder="1" applyAlignment="1">
      <alignment vertical="top"/>
    </xf>
    <xf numFmtId="0" fontId="42" fillId="0" borderId="56" xfId="0" applyFont="1" applyBorder="1"/>
    <xf numFmtId="0" fontId="42" fillId="0" borderId="57" xfId="0" applyFont="1" applyBorder="1"/>
    <xf numFmtId="0" fontId="13" fillId="0" borderId="58" xfId="0" applyFont="1" applyBorder="1" applyAlignment="1">
      <alignment horizontal="center" vertical="center"/>
    </xf>
    <xf numFmtId="166" fontId="13" fillId="0" borderId="59" xfId="0" applyNumberFormat="1" applyFont="1" applyBorder="1" applyAlignment="1">
      <alignment horizontal="center"/>
    </xf>
    <xf numFmtId="166" fontId="13" fillId="0" borderId="60" xfId="0" applyNumberFormat="1" applyFont="1" applyBorder="1" applyAlignment="1">
      <alignment horizontal="center"/>
    </xf>
    <xf numFmtId="0" fontId="13" fillId="0" borderId="37" xfId="0" applyFont="1" applyBorder="1" applyAlignment="1">
      <alignment horizontal="center" vertical="center"/>
    </xf>
    <xf numFmtId="166" fontId="13" fillId="0" borderId="39" xfId="0" applyNumberFormat="1" applyFont="1" applyBorder="1" applyAlignment="1">
      <alignment horizontal="center"/>
    </xf>
    <xf numFmtId="166" fontId="13" fillId="0" borderId="46" xfId="0" applyNumberFormat="1" applyFont="1" applyBorder="1" applyAlignment="1">
      <alignment horizontal="center"/>
    </xf>
    <xf numFmtId="166" fontId="13" fillId="0" borderId="48" xfId="0" applyNumberFormat="1" applyFont="1" applyBorder="1" applyAlignment="1">
      <alignment horizontal="center"/>
    </xf>
    <xf numFmtId="166" fontId="42" fillId="0" borderId="61" xfId="0" applyNumberFormat="1" applyFont="1" applyBorder="1"/>
    <xf numFmtId="166" fontId="42" fillId="0" borderId="56" xfId="0" applyNumberFormat="1" applyFont="1" applyBorder="1"/>
    <xf numFmtId="166" fontId="42" fillId="0" borderId="57" xfId="0" applyNumberFormat="1" applyFont="1" applyBorder="1"/>
    <xf numFmtId="166" fontId="45" fillId="0" borderId="56" xfId="0" applyNumberFormat="1" applyFont="1" applyBorder="1"/>
    <xf numFmtId="166" fontId="45" fillId="0" borderId="41" xfId="0" applyNumberFormat="1" applyFont="1" applyBorder="1"/>
    <xf numFmtId="166" fontId="13" fillId="0" borderId="62" xfId="0" applyNumberFormat="1" applyFont="1" applyBorder="1" applyAlignment="1">
      <alignment horizontal="center"/>
    </xf>
    <xf numFmtId="166" fontId="13" fillId="0" borderId="63" xfId="0" applyNumberFormat="1" applyFont="1" applyBorder="1" applyAlignment="1">
      <alignment horizontal="center"/>
    </xf>
    <xf numFmtId="0" fontId="13" fillId="0" borderId="64" xfId="0" applyFont="1" applyBorder="1" applyAlignment="1">
      <alignment horizontal="center" vertical="center"/>
    </xf>
    <xf numFmtId="0" fontId="13" fillId="0" borderId="65" xfId="0" applyFont="1" applyBorder="1" applyAlignment="1">
      <alignment horizontal="center" vertical="center"/>
    </xf>
    <xf numFmtId="166" fontId="13" fillId="0" borderId="44" xfId="0" applyNumberFormat="1" applyFont="1" applyBorder="1" applyAlignment="1">
      <alignment horizontal="center"/>
    </xf>
    <xf numFmtId="0" fontId="13" fillId="0" borderId="66" xfId="0" applyFont="1" applyBorder="1" applyAlignment="1">
      <alignment horizontal="center" vertical="center"/>
    </xf>
    <xf numFmtId="166" fontId="13" fillId="0" borderId="67" xfId="0" applyNumberFormat="1" applyFont="1" applyBorder="1" applyAlignment="1">
      <alignment horizontal="center"/>
    </xf>
    <xf numFmtId="0" fontId="42" fillId="0" borderId="0" xfId="0" applyFont="1"/>
    <xf numFmtId="166" fontId="13" fillId="0" borderId="0" xfId="0" applyNumberFormat="1" applyFont="1" applyAlignment="1">
      <alignment horizontal="center"/>
    </xf>
    <xf numFmtId="0" fontId="42" fillId="0" borderId="41" xfId="0" applyFont="1" applyBorder="1"/>
    <xf numFmtId="0" fontId="12" fillId="3" borderId="51" xfId="0" applyFont="1" applyFill="1" applyBorder="1" applyAlignment="1">
      <alignment horizontal="center" vertical="center" wrapText="1"/>
    </xf>
    <xf numFmtId="14" fontId="13" fillId="0" borderId="0" xfId="0" applyNumberFormat="1" applyFont="1" applyAlignment="1">
      <alignment horizontal="center" vertical="center"/>
    </xf>
    <xf numFmtId="0" fontId="38" fillId="0" borderId="0" xfId="0" applyFont="1" applyAlignment="1">
      <alignment horizontal="center" vertical="center" wrapText="1"/>
    </xf>
    <xf numFmtId="0" fontId="0" fillId="0" borderId="0" xfId="0" applyAlignment="1">
      <alignment vertical="center"/>
    </xf>
    <xf numFmtId="0" fontId="30" fillId="6" borderId="33" xfId="0" applyFont="1" applyFill="1" applyBorder="1" applyAlignment="1">
      <alignment horizontal="left" vertical="center" wrapText="1"/>
    </xf>
    <xf numFmtId="0" fontId="46" fillId="6" borderId="33" xfId="0" applyFont="1" applyFill="1" applyBorder="1" applyAlignment="1">
      <alignment horizontal="left" vertical="center" wrapText="1"/>
    </xf>
    <xf numFmtId="0" fontId="12" fillId="6" borderId="33" xfId="0" applyFont="1" applyFill="1" applyBorder="1" applyAlignment="1">
      <alignment horizontal="center" vertical="center"/>
    </xf>
    <xf numFmtId="0" fontId="49" fillId="6" borderId="33" xfId="0" applyFont="1" applyFill="1" applyBorder="1" applyAlignment="1" applyProtection="1">
      <alignment horizontal="center" vertical="center"/>
      <protection locked="0"/>
    </xf>
    <xf numFmtId="0" fontId="39" fillId="7" borderId="0" xfId="0" applyFont="1" applyFill="1"/>
    <xf numFmtId="0" fontId="41" fillId="7" borderId="0" xfId="0" applyFont="1" applyFill="1"/>
    <xf numFmtId="0" fontId="35" fillId="7" borderId="13" xfId="0" applyFont="1" applyFill="1" applyBorder="1" applyAlignment="1">
      <alignment horizontal="left" vertical="top" wrapText="1"/>
    </xf>
    <xf numFmtId="0" fontId="35" fillId="7" borderId="13" xfId="0" applyFont="1" applyFill="1" applyBorder="1" applyAlignment="1">
      <alignment horizontal="center" vertical="center"/>
    </xf>
    <xf numFmtId="166" fontId="35" fillId="7" borderId="14" xfId="0" applyNumberFormat="1" applyFont="1" applyFill="1" applyBorder="1" applyAlignment="1">
      <alignment horizontal="center" vertical="center"/>
    </xf>
    <xf numFmtId="0" fontId="39" fillId="7" borderId="15" xfId="0" applyFont="1" applyFill="1" applyBorder="1"/>
    <xf numFmtId="0" fontId="39" fillId="7" borderId="16" xfId="0" applyFont="1" applyFill="1" applyBorder="1"/>
    <xf numFmtId="0" fontId="39" fillId="7" borderId="17" xfId="0" applyFont="1" applyFill="1" applyBorder="1"/>
    <xf numFmtId="0" fontId="39" fillId="7" borderId="18" xfId="0" applyFont="1" applyFill="1" applyBorder="1"/>
    <xf numFmtId="0" fontId="39" fillId="7" borderId="19" xfId="0" applyFont="1" applyFill="1" applyBorder="1"/>
    <xf numFmtId="165" fontId="39" fillId="7" borderId="0" xfId="0" applyNumberFormat="1" applyFont="1" applyFill="1"/>
    <xf numFmtId="0" fontId="39" fillId="7" borderId="20" xfId="0" applyFont="1" applyFill="1" applyBorder="1"/>
    <xf numFmtId="0" fontId="39" fillId="7" borderId="21" xfId="0" applyFont="1" applyFill="1" applyBorder="1"/>
    <xf numFmtId="0" fontId="39" fillId="7" borderId="0" xfId="0" applyFont="1" applyFill="1" applyAlignment="1">
      <alignment vertical="top" wrapText="1"/>
    </xf>
    <xf numFmtId="0" fontId="39" fillId="7" borderId="0" xfId="0" applyFont="1" applyFill="1" applyAlignment="1">
      <alignment vertical="center" wrapText="1"/>
    </xf>
    <xf numFmtId="0" fontId="13" fillId="7" borderId="33" xfId="0" applyFont="1" applyFill="1" applyBorder="1" applyAlignment="1">
      <alignment horizontal="center" vertical="center"/>
    </xf>
    <xf numFmtId="166" fontId="13" fillId="7" borderId="33" xfId="0" applyNumberFormat="1" applyFont="1" applyFill="1" applyBorder="1" applyAlignment="1">
      <alignment horizontal="center"/>
    </xf>
    <xf numFmtId="166" fontId="42" fillId="0" borderId="82" xfId="0" applyNumberFormat="1" applyFont="1" applyBorder="1"/>
    <xf numFmtId="166" fontId="13" fillId="0" borderId="83" xfId="0" applyNumberFormat="1" applyFont="1" applyBorder="1" applyAlignment="1">
      <alignment horizontal="center"/>
    </xf>
    <xf numFmtId="166" fontId="13" fillId="0" borderId="84" xfId="0" applyNumberFormat="1" applyFont="1" applyBorder="1" applyAlignment="1">
      <alignment horizontal="center"/>
    </xf>
    <xf numFmtId="166" fontId="13" fillId="0" borderId="85" xfId="0" applyNumberFormat="1" applyFont="1" applyBorder="1" applyAlignment="1">
      <alignment horizontal="center"/>
    </xf>
    <xf numFmtId="166" fontId="13" fillId="0" borderId="86" xfId="0" applyNumberFormat="1" applyFont="1" applyBorder="1" applyAlignment="1">
      <alignment horizontal="center"/>
    </xf>
    <xf numFmtId="166" fontId="13" fillId="0" borderId="87" xfId="0" applyNumberFormat="1" applyFont="1" applyBorder="1" applyAlignment="1">
      <alignment horizontal="center"/>
    </xf>
    <xf numFmtId="0" fontId="12" fillId="3" borderId="93" xfId="0" applyFont="1" applyFill="1" applyBorder="1" applyAlignment="1">
      <alignment horizontal="center" vertical="center" wrapText="1"/>
    </xf>
    <xf numFmtId="165" fontId="13" fillId="7" borderId="74" xfId="0" applyNumberFormat="1" applyFont="1" applyFill="1" applyBorder="1" applyAlignment="1">
      <alignment horizontal="center" vertical="center"/>
    </xf>
    <xf numFmtId="0" fontId="13" fillId="7" borderId="74" xfId="0" applyFont="1" applyFill="1" applyBorder="1" applyAlignment="1">
      <alignment horizontal="center" vertical="center"/>
    </xf>
    <xf numFmtId="165" fontId="13" fillId="7" borderId="94" xfId="0" applyNumberFormat="1" applyFont="1" applyFill="1" applyBorder="1" applyAlignment="1">
      <alignment horizontal="center" vertical="center"/>
    </xf>
    <xf numFmtId="0" fontId="40" fillId="7" borderId="37" xfId="0" applyFont="1" applyFill="1" applyBorder="1" applyAlignment="1">
      <alignment vertical="top"/>
    </xf>
    <xf numFmtId="0" fontId="13" fillId="7" borderId="38" xfId="0" applyFont="1" applyFill="1" applyBorder="1" applyAlignment="1">
      <alignment horizontal="center" vertical="center"/>
    </xf>
    <xf numFmtId="166" fontId="42" fillId="7" borderId="37" xfId="0" applyNumberFormat="1" applyFont="1" applyFill="1" applyBorder="1"/>
    <xf numFmtId="166" fontId="13" fillId="7" borderId="38" xfId="0" applyNumberFormat="1" applyFont="1" applyFill="1" applyBorder="1" applyAlignment="1">
      <alignment horizontal="center"/>
    </xf>
    <xf numFmtId="166" fontId="45" fillId="7" borderId="37" xfId="0" applyNumberFormat="1" applyFont="1" applyFill="1" applyBorder="1"/>
    <xf numFmtId="166" fontId="45" fillId="7" borderId="95" xfId="0" applyNumberFormat="1" applyFont="1" applyFill="1" applyBorder="1"/>
    <xf numFmtId="166" fontId="13" fillId="7" borderId="96" xfId="0" applyNumberFormat="1" applyFont="1" applyFill="1" applyBorder="1" applyAlignment="1">
      <alignment horizontal="center"/>
    </xf>
    <xf numFmtId="166" fontId="13" fillId="7" borderId="97" xfId="0" applyNumberFormat="1" applyFont="1" applyFill="1" applyBorder="1" applyAlignment="1">
      <alignment horizontal="center"/>
    </xf>
    <xf numFmtId="0" fontId="42" fillId="7" borderId="37" xfId="0" applyFont="1" applyFill="1" applyBorder="1"/>
    <xf numFmtId="166" fontId="42" fillId="7" borderId="95" xfId="0" applyNumberFormat="1" applyFont="1" applyFill="1" applyBorder="1"/>
    <xf numFmtId="0" fontId="42" fillId="7" borderId="95" xfId="0" applyFont="1" applyFill="1" applyBorder="1"/>
    <xf numFmtId="14" fontId="39" fillId="7" borderId="0" xfId="0" applyNumberFormat="1" applyFont="1" applyFill="1"/>
    <xf numFmtId="0" fontId="4" fillId="2" borderId="3" xfId="0" applyFont="1" applyFill="1" applyBorder="1" applyAlignment="1">
      <alignment horizontal="center" vertical="center" wrapText="1"/>
    </xf>
    <xf numFmtId="1" fontId="4" fillId="2" borderId="3" xfId="0" applyNumberFormat="1" applyFont="1" applyFill="1" applyBorder="1" applyAlignment="1">
      <alignment horizontal="center" vertical="center" wrapText="1"/>
    </xf>
    <xf numFmtId="14" fontId="45" fillId="6" borderId="33" xfId="0" applyNumberFormat="1" applyFont="1" applyFill="1" applyBorder="1" applyAlignment="1">
      <alignment horizontal="center" vertical="center"/>
    </xf>
    <xf numFmtId="0" fontId="35" fillId="7" borderId="98" xfId="0" applyFont="1" applyFill="1" applyBorder="1" applyAlignment="1">
      <alignment horizontal="left" vertical="top" wrapText="1"/>
    </xf>
    <xf numFmtId="0" fontId="35" fillId="7" borderId="98" xfId="0" applyFont="1" applyFill="1" applyBorder="1" applyAlignment="1">
      <alignment horizontal="center" vertical="center"/>
    </xf>
    <xf numFmtId="0" fontId="55" fillId="2" borderId="3" xfId="0" applyFont="1" applyFill="1" applyBorder="1" applyAlignment="1">
      <alignment horizontal="center" vertical="center"/>
    </xf>
    <xf numFmtId="1" fontId="44" fillId="10" borderId="71" xfId="0" applyNumberFormat="1" applyFont="1" applyFill="1" applyBorder="1" applyAlignment="1">
      <alignment horizontal="center" vertical="center"/>
    </xf>
    <xf numFmtId="166" fontId="44" fillId="10" borderId="72" xfId="0" applyNumberFormat="1" applyFont="1" applyFill="1" applyBorder="1" applyAlignment="1">
      <alignment horizontal="center" vertical="center"/>
    </xf>
    <xf numFmtId="165" fontId="30" fillId="0" borderId="0" xfId="0" applyNumberFormat="1" applyFont="1" applyAlignment="1">
      <alignment horizontal="center" vertical="center"/>
    </xf>
    <xf numFmtId="14" fontId="45" fillId="11" borderId="33" xfId="0" applyNumberFormat="1" applyFont="1" applyFill="1" applyBorder="1" applyAlignment="1" applyProtection="1">
      <alignment horizontal="center" vertical="center"/>
      <protection locked="0"/>
    </xf>
    <xf numFmtId="0" fontId="49" fillId="11" borderId="33" xfId="0" applyFont="1" applyFill="1" applyBorder="1" applyAlignment="1" applyProtection="1">
      <alignment horizontal="center" vertical="center"/>
      <protection locked="0"/>
    </xf>
    <xf numFmtId="1" fontId="51" fillId="6" borderId="33" xfId="0" applyNumberFormat="1" applyFont="1" applyFill="1" applyBorder="1" applyAlignment="1">
      <alignment horizontal="center" vertical="center"/>
    </xf>
    <xf numFmtId="166" fontId="51" fillId="6" borderId="38" xfId="0" applyNumberFormat="1" applyFont="1" applyFill="1" applyBorder="1" applyAlignment="1">
      <alignment horizontal="center" vertical="center"/>
    </xf>
    <xf numFmtId="1" fontId="51" fillId="6" borderId="100" xfId="0" applyNumberFormat="1" applyFont="1" applyFill="1" applyBorder="1" applyAlignment="1">
      <alignment horizontal="center" vertical="center"/>
    </xf>
    <xf numFmtId="166" fontId="51" fillId="6" borderId="101" xfId="0" applyNumberFormat="1" applyFont="1" applyFill="1" applyBorder="1" applyAlignment="1">
      <alignment horizontal="center" vertical="center"/>
    </xf>
    <xf numFmtId="0" fontId="4" fillId="11" borderId="3" xfId="0" applyFont="1" applyFill="1" applyBorder="1" applyAlignment="1" applyProtection="1">
      <alignment horizontal="center" vertical="center" wrapText="1"/>
      <protection locked="0"/>
    </xf>
    <xf numFmtId="0" fontId="4" fillId="11" borderId="3" xfId="0" applyFont="1" applyFill="1" applyBorder="1" applyAlignment="1" applyProtection="1">
      <alignment horizontal="center" vertical="center"/>
      <protection locked="0"/>
    </xf>
    <xf numFmtId="14" fontId="4" fillId="11" borderId="3" xfId="0" applyNumberFormat="1" applyFont="1" applyFill="1" applyBorder="1" applyAlignment="1" applyProtection="1">
      <alignment horizontal="center" vertical="center"/>
      <protection locked="0"/>
    </xf>
    <xf numFmtId="0" fontId="28" fillId="15" borderId="33" xfId="0" applyFont="1" applyFill="1" applyBorder="1" applyAlignment="1">
      <alignment horizontal="left" vertical="center" wrapText="1"/>
    </xf>
    <xf numFmtId="0" fontId="29" fillId="15" borderId="33" xfId="0" applyFont="1" applyFill="1" applyBorder="1" applyAlignment="1">
      <alignment horizontal="center" vertical="center"/>
    </xf>
    <xf numFmtId="166" fontId="29" fillId="15" borderId="33" xfId="0" applyNumberFormat="1" applyFont="1" applyFill="1" applyBorder="1" applyAlignment="1">
      <alignment horizontal="center" vertical="center"/>
    </xf>
    <xf numFmtId="0" fontId="28" fillId="16" borderId="33" xfId="0" applyFont="1" applyFill="1" applyBorder="1" applyAlignment="1">
      <alignment horizontal="left" vertical="center" wrapText="1"/>
    </xf>
    <xf numFmtId="0" fontId="29" fillId="16" borderId="33" xfId="0" applyFont="1" applyFill="1" applyBorder="1" applyAlignment="1">
      <alignment horizontal="center" vertical="center"/>
    </xf>
    <xf numFmtId="166" fontId="29" fillId="16" borderId="33" xfId="0" applyNumberFormat="1" applyFont="1" applyFill="1" applyBorder="1" applyAlignment="1">
      <alignment horizontal="center" vertical="center"/>
    </xf>
    <xf numFmtId="0" fontId="29" fillId="14" borderId="33" xfId="0" applyFont="1" applyFill="1" applyBorder="1" applyAlignment="1">
      <alignment horizontal="center" vertical="center"/>
    </xf>
    <xf numFmtId="166" fontId="29" fillId="14" borderId="33" xfId="0" applyNumberFormat="1" applyFont="1" applyFill="1" applyBorder="1" applyAlignment="1">
      <alignment horizontal="center" vertical="center"/>
    </xf>
    <xf numFmtId="0" fontId="28" fillId="17" borderId="33" xfId="0" applyFont="1" applyFill="1" applyBorder="1" applyAlignment="1">
      <alignment horizontal="left" vertical="center" wrapText="1"/>
    </xf>
    <xf numFmtId="0" fontId="29" fillId="17" borderId="33" xfId="0" applyFont="1" applyFill="1" applyBorder="1" applyAlignment="1">
      <alignment horizontal="center" vertical="center"/>
    </xf>
    <xf numFmtId="166" fontId="29" fillId="17" borderId="33" xfId="0" applyNumberFormat="1" applyFont="1" applyFill="1" applyBorder="1" applyAlignment="1">
      <alignment horizontal="center" vertical="center"/>
    </xf>
    <xf numFmtId="0" fontId="71" fillId="14" borderId="33" xfId="0" applyFont="1" applyFill="1" applyBorder="1" applyAlignment="1">
      <alignment horizontal="left" vertical="center" wrapText="1"/>
    </xf>
    <xf numFmtId="0" fontId="75" fillId="14" borderId="33" xfId="0" applyFont="1" applyFill="1" applyBorder="1" applyAlignment="1">
      <alignment horizontal="left" vertical="center" wrapText="1"/>
    </xf>
    <xf numFmtId="0" fontId="33" fillId="9" borderId="0" xfId="0" applyFont="1" applyFill="1"/>
    <xf numFmtId="0" fontId="33" fillId="8" borderId="18" xfId="0" applyFont="1" applyFill="1" applyBorder="1"/>
    <xf numFmtId="0" fontId="33" fillId="8" borderId="11" xfId="0" applyFont="1" applyFill="1" applyBorder="1"/>
    <xf numFmtId="0" fontId="33" fillId="8" borderId="25" xfId="0" applyFont="1" applyFill="1" applyBorder="1"/>
    <xf numFmtId="0" fontId="33" fillId="8" borderId="10" xfId="0" applyFont="1" applyFill="1" applyBorder="1"/>
    <xf numFmtId="0" fontId="33" fillId="9" borderId="18" xfId="0" applyFont="1" applyFill="1" applyBorder="1"/>
    <xf numFmtId="0" fontId="33" fillId="9" borderId="11" xfId="0" applyFont="1" applyFill="1" applyBorder="1"/>
    <xf numFmtId="0" fontId="33" fillId="9" borderId="25" xfId="0" applyFont="1" applyFill="1" applyBorder="1"/>
    <xf numFmtId="0" fontId="33" fillId="9" borderId="10" xfId="0" applyFont="1" applyFill="1" applyBorder="1"/>
    <xf numFmtId="0" fontId="78" fillId="2" borderId="3" xfId="0" applyFont="1" applyFill="1" applyBorder="1" applyAlignment="1">
      <alignment horizontal="center" vertical="center"/>
    </xf>
    <xf numFmtId="0" fontId="79" fillId="0" borderId="0" xfId="0" applyFont="1" applyAlignment="1">
      <alignment vertical="center" wrapText="1"/>
    </xf>
    <xf numFmtId="0" fontId="16" fillId="0" borderId="92" xfId="0" applyFont="1" applyBorder="1" applyAlignment="1">
      <alignment horizontal="center" vertical="center"/>
    </xf>
    <xf numFmtId="0" fontId="80" fillId="19" borderId="43" xfId="0" applyFont="1" applyFill="1" applyBorder="1" applyAlignment="1">
      <alignment horizontal="center" vertical="center"/>
    </xf>
    <xf numFmtId="0" fontId="83" fillId="0" borderId="43" xfId="0" applyFont="1" applyBorder="1" applyAlignment="1">
      <alignment horizontal="center" vertical="center"/>
    </xf>
    <xf numFmtId="0" fontId="83" fillId="0" borderId="0" xfId="0" applyFont="1" applyAlignment="1">
      <alignment horizontal="center" vertical="center"/>
    </xf>
    <xf numFmtId="0" fontId="83" fillId="0" borderId="88" xfId="0" applyFont="1" applyBorder="1" applyAlignment="1">
      <alignment horizontal="center" vertical="center"/>
    </xf>
    <xf numFmtId="0" fontId="83" fillId="0" borderId="91" xfId="0" applyFont="1" applyBorder="1" applyAlignment="1">
      <alignment horizontal="center" vertical="center"/>
    </xf>
    <xf numFmtId="0" fontId="16" fillId="0" borderId="107" xfId="0" applyFont="1" applyBorder="1" applyAlignment="1">
      <alignment horizontal="center" vertical="center"/>
    </xf>
    <xf numFmtId="0" fontId="16" fillId="0" borderId="109" xfId="0" applyFont="1" applyBorder="1" applyAlignment="1">
      <alignment horizontal="center" vertical="center"/>
    </xf>
    <xf numFmtId="0" fontId="16" fillId="0" borderId="108" xfId="0" applyFont="1" applyBorder="1" applyAlignment="1">
      <alignment horizontal="center" vertical="center"/>
    </xf>
    <xf numFmtId="0" fontId="82" fillId="0" borderId="107" xfId="0" applyFont="1" applyBorder="1" applyAlignment="1">
      <alignment vertical="center"/>
    </xf>
    <xf numFmtId="0" fontId="82" fillId="0" borderId="109" xfId="0" applyFont="1" applyBorder="1" applyAlignment="1">
      <alignment vertical="center"/>
    </xf>
    <xf numFmtId="0" fontId="82" fillId="0" borderId="112" xfId="0" applyFont="1" applyBorder="1" applyAlignment="1">
      <alignment vertical="center"/>
    </xf>
    <xf numFmtId="0" fontId="82" fillId="0" borderId="91" xfId="0" applyFont="1" applyBorder="1" applyAlignment="1">
      <alignment vertical="center"/>
    </xf>
    <xf numFmtId="0" fontId="82" fillId="0" borderId="111" xfId="0" applyFont="1" applyBorder="1" applyAlignment="1">
      <alignment vertical="center"/>
    </xf>
    <xf numFmtId="0" fontId="82" fillId="0" borderId="108" xfId="0" applyFont="1" applyBorder="1" applyAlignment="1">
      <alignment vertical="center"/>
    </xf>
    <xf numFmtId="0" fontId="83" fillId="0" borderId="107" xfId="0" applyFont="1" applyBorder="1" applyAlignment="1">
      <alignment horizontal="center" vertical="center"/>
    </xf>
    <xf numFmtId="0" fontId="83" fillId="0" borderId="109" xfId="0" applyFont="1" applyBorder="1" applyAlignment="1">
      <alignment horizontal="center" vertical="center"/>
    </xf>
    <xf numFmtId="0" fontId="83" fillId="0" borderId="108" xfId="0" applyFont="1" applyBorder="1" applyAlignment="1">
      <alignment horizontal="center" vertical="center"/>
    </xf>
    <xf numFmtId="0" fontId="83" fillId="0" borderId="107" xfId="0" applyFont="1" applyBorder="1" applyAlignment="1">
      <alignment vertical="center"/>
    </xf>
    <xf numFmtId="0" fontId="83" fillId="0" borderId="109" xfId="0" applyFont="1" applyBorder="1" applyAlignment="1">
      <alignment vertical="center"/>
    </xf>
    <xf numFmtId="0" fontId="83" fillId="0" borderId="108" xfId="0" applyFont="1" applyBorder="1" applyAlignment="1">
      <alignment vertical="center"/>
    </xf>
    <xf numFmtId="0" fontId="84" fillId="20" borderId="0" xfId="0" applyFont="1" applyFill="1"/>
    <xf numFmtId="0" fontId="16" fillId="19" borderId="92" xfId="0" applyFont="1" applyFill="1" applyBorder="1" applyAlignment="1">
      <alignment horizontal="center" vertical="center"/>
    </xf>
    <xf numFmtId="0" fontId="80" fillId="19" borderId="92" xfId="0" applyFont="1" applyFill="1" applyBorder="1" applyAlignment="1">
      <alignment horizontal="center" vertical="center"/>
    </xf>
    <xf numFmtId="0" fontId="16" fillId="19" borderId="55" xfId="0" applyFont="1" applyFill="1" applyBorder="1" applyAlignment="1">
      <alignment horizontal="center" vertical="center"/>
    </xf>
    <xf numFmtId="0" fontId="80" fillId="19" borderId="55" xfId="0" applyFont="1" applyFill="1" applyBorder="1" applyAlignment="1">
      <alignment horizontal="center" vertical="center"/>
    </xf>
    <xf numFmtId="0" fontId="82" fillId="0" borderId="88" xfId="0" applyFont="1" applyBorder="1" applyAlignment="1">
      <alignment vertical="center"/>
    </xf>
    <xf numFmtId="0" fontId="83" fillId="0" borderId="89" xfId="0" applyFont="1" applyBorder="1" applyAlignment="1">
      <alignment horizontal="center" vertical="center"/>
    </xf>
    <xf numFmtId="0" fontId="26" fillId="8" borderId="89" xfId="0" applyFont="1" applyFill="1" applyBorder="1" applyAlignment="1">
      <alignment horizontal="center" vertical="center"/>
    </xf>
    <xf numFmtId="0" fontId="82" fillId="0" borderId="41" xfId="0" applyFont="1" applyBorder="1" applyAlignment="1">
      <alignment vertical="center"/>
    </xf>
    <xf numFmtId="0" fontId="26" fillId="8" borderId="42" xfId="0" applyFont="1" applyFill="1" applyBorder="1" applyAlignment="1">
      <alignment horizontal="center" vertical="center"/>
    </xf>
    <xf numFmtId="0" fontId="16" fillId="19" borderId="42" xfId="0" applyFont="1" applyFill="1" applyBorder="1" applyAlignment="1">
      <alignment horizontal="center" vertical="center"/>
    </xf>
    <xf numFmtId="0" fontId="16" fillId="19" borderId="107" xfId="0" applyFont="1" applyFill="1" applyBorder="1" applyAlignment="1">
      <alignment horizontal="center" vertical="center"/>
    </xf>
    <xf numFmtId="0" fontId="16" fillId="19" borderId="108" xfId="0" applyFont="1" applyFill="1" applyBorder="1" applyAlignment="1">
      <alignment horizontal="center" vertical="center"/>
    </xf>
    <xf numFmtId="0" fontId="80" fillId="19" borderId="107" xfId="0" applyFont="1" applyFill="1" applyBorder="1" applyAlignment="1">
      <alignment horizontal="center" vertical="center"/>
    </xf>
    <xf numFmtId="0" fontId="80" fillId="19" borderId="108" xfId="0" applyFont="1" applyFill="1" applyBorder="1" applyAlignment="1">
      <alignment horizontal="center" vertical="center"/>
    </xf>
    <xf numFmtId="0" fontId="83" fillId="0" borderId="90" xfId="0" applyFont="1" applyBorder="1" applyAlignment="1">
      <alignment horizontal="center" vertical="center"/>
    </xf>
    <xf numFmtId="0" fontId="26" fillId="8" borderId="113" xfId="0" applyFont="1" applyFill="1" applyBorder="1" applyAlignment="1">
      <alignment horizontal="center" vertical="center"/>
    </xf>
    <xf numFmtId="0" fontId="26" fillId="8" borderId="50" xfId="0" applyFont="1" applyFill="1" applyBorder="1" applyAlignment="1">
      <alignment horizontal="center" vertical="center"/>
    </xf>
    <xf numFmtId="0" fontId="83" fillId="0" borderId="106" xfId="0" applyFont="1" applyBorder="1" applyAlignment="1">
      <alignment vertical="center"/>
    </xf>
    <xf numFmtId="0" fontId="26" fillId="8" borderId="114" xfId="0" applyFont="1" applyFill="1" applyBorder="1" applyAlignment="1">
      <alignment horizontal="center" vertical="center"/>
    </xf>
    <xf numFmtId="0" fontId="16" fillId="19" borderId="109" xfId="0" applyFont="1" applyFill="1" applyBorder="1" applyAlignment="1">
      <alignment horizontal="center" vertical="center"/>
    </xf>
    <xf numFmtId="0" fontId="26" fillId="8" borderId="109" xfId="0" applyFont="1" applyFill="1" applyBorder="1" applyAlignment="1">
      <alignment horizontal="center" vertical="center"/>
    </xf>
    <xf numFmtId="0" fontId="26" fillId="8" borderId="108" xfId="0" applyFont="1" applyFill="1" applyBorder="1" applyAlignment="1">
      <alignment horizontal="center" vertical="center"/>
    </xf>
    <xf numFmtId="14" fontId="0" fillId="7" borderId="0" xfId="0" applyNumberFormat="1" applyFill="1"/>
    <xf numFmtId="0" fontId="21" fillId="2" borderId="3" xfId="0" applyFont="1" applyFill="1" applyBorder="1" applyAlignment="1">
      <alignment horizontal="center" vertical="center" wrapText="1"/>
    </xf>
    <xf numFmtId="0" fontId="16" fillId="0" borderId="91" xfId="0" applyFont="1" applyBorder="1" applyAlignment="1">
      <alignment horizontal="center" vertical="center"/>
    </xf>
    <xf numFmtId="0" fontId="16" fillId="0" borderId="41" xfId="0" applyFont="1" applyBorder="1" applyAlignment="1">
      <alignment horizontal="center" vertical="center"/>
    </xf>
    <xf numFmtId="0" fontId="16" fillId="0" borderId="88" xfId="0" applyFont="1" applyBorder="1" applyAlignment="1">
      <alignment horizontal="center" vertical="center"/>
    </xf>
    <xf numFmtId="4" fontId="21" fillId="2" borderId="3" xfId="0" applyNumberFormat="1" applyFont="1" applyFill="1" applyBorder="1" applyAlignment="1">
      <alignment horizontal="center" vertical="center" wrapText="1"/>
    </xf>
    <xf numFmtId="0" fontId="0" fillId="7" borderId="0" xfId="0" applyFill="1" applyAlignment="1">
      <alignment horizontal="right" wrapText="1"/>
    </xf>
    <xf numFmtId="0" fontId="0" fillId="7" borderId="0" xfId="0" applyFill="1"/>
    <xf numFmtId="0" fontId="86" fillId="6" borderId="78" xfId="0" applyFont="1" applyFill="1" applyBorder="1" applyAlignment="1">
      <alignment horizontal="center" vertical="center" wrapText="1"/>
    </xf>
    <xf numFmtId="0" fontId="86" fillId="11" borderId="58" xfId="0" applyFont="1" applyFill="1" applyBorder="1" applyAlignment="1" applyProtection="1">
      <alignment horizontal="center" vertical="center" wrapText="1"/>
      <protection locked="0"/>
    </xf>
    <xf numFmtId="0" fontId="87" fillId="7" borderId="0" xfId="0" applyFont="1" applyFill="1" applyAlignment="1">
      <alignment horizontal="right" wrapText="1"/>
    </xf>
    <xf numFmtId="0" fontId="87" fillId="7" borderId="0" xfId="0" applyFont="1" applyFill="1"/>
    <xf numFmtId="0" fontId="86" fillId="6" borderId="58" xfId="0" applyFont="1" applyFill="1" applyBorder="1" applyAlignment="1" applyProtection="1">
      <alignment horizontal="center" vertical="center" wrapText="1"/>
      <protection locked="0"/>
    </xf>
    <xf numFmtId="0" fontId="0" fillId="7" borderId="0" xfId="0" applyFill="1" applyAlignment="1">
      <alignment horizontal="left"/>
    </xf>
    <xf numFmtId="0" fontId="0" fillId="7" borderId="119" xfId="0" applyFill="1" applyBorder="1" applyAlignment="1">
      <alignment horizontal="right" wrapText="1"/>
    </xf>
    <xf numFmtId="0" fontId="0" fillId="7" borderId="119" xfId="0" applyFill="1" applyBorder="1" applyAlignment="1">
      <alignment wrapText="1"/>
    </xf>
    <xf numFmtId="0" fontId="0" fillId="7" borderId="122" xfId="0" applyFill="1" applyBorder="1" applyAlignment="1">
      <alignment wrapText="1"/>
    </xf>
    <xf numFmtId="0" fontId="84" fillId="21" borderId="117" xfId="0" applyFont="1" applyFill="1" applyBorder="1" applyAlignment="1">
      <alignment horizontal="center" vertical="center" wrapText="1"/>
    </xf>
    <xf numFmtId="0" fontId="85" fillId="7" borderId="120" xfId="0" applyFont="1" applyFill="1" applyBorder="1" applyAlignment="1">
      <alignment horizontal="center" vertical="center" wrapText="1"/>
    </xf>
    <xf numFmtId="0" fontId="85" fillId="7" borderId="121" xfId="0" applyFont="1" applyFill="1" applyBorder="1" applyAlignment="1">
      <alignment horizontal="center" vertical="center" wrapText="1"/>
    </xf>
    <xf numFmtId="0" fontId="85" fillId="23" borderId="121" xfId="0" applyFont="1" applyFill="1" applyBorder="1" applyAlignment="1">
      <alignment horizontal="center" vertical="center" wrapText="1"/>
    </xf>
    <xf numFmtId="0" fontId="85" fillId="24" borderId="121" xfId="0" applyFont="1" applyFill="1" applyBorder="1" applyAlignment="1">
      <alignment horizontal="center" vertical="center" wrapText="1"/>
    </xf>
    <xf numFmtId="0" fontId="0" fillId="7" borderId="118" xfId="0" applyFill="1" applyBorder="1"/>
    <xf numFmtId="0" fontId="0" fillId="7" borderId="118" xfId="0" applyFill="1" applyBorder="1" applyAlignment="1">
      <alignment horizontal="right" wrapText="1"/>
    </xf>
    <xf numFmtId="0" fontId="0" fillId="7" borderId="116" xfId="0" applyFill="1" applyBorder="1"/>
    <xf numFmtId="0" fontId="0" fillId="21" borderId="124" xfId="0" applyFill="1" applyBorder="1" applyAlignment="1">
      <alignment horizontal="center" vertical="center"/>
    </xf>
    <xf numFmtId="0" fontId="0" fillId="7" borderId="92" xfId="0" applyFill="1" applyBorder="1" applyAlignment="1">
      <alignment horizontal="center" vertical="center"/>
    </xf>
    <xf numFmtId="0" fontId="0" fillId="7" borderId="109" xfId="0" applyFill="1" applyBorder="1" applyAlignment="1">
      <alignment horizontal="center" vertical="center"/>
    </xf>
    <xf numFmtId="0" fontId="0" fillId="23" borderId="109" xfId="0" applyFill="1" applyBorder="1" applyAlignment="1">
      <alignment horizontal="center" vertical="center"/>
    </xf>
    <xf numFmtId="0" fontId="0" fillId="24" borderId="109" xfId="0" applyFill="1" applyBorder="1" applyAlignment="1">
      <alignment horizontal="center" vertical="center"/>
    </xf>
    <xf numFmtId="0" fontId="0" fillId="7" borderId="115" xfId="0" applyFill="1" applyBorder="1"/>
    <xf numFmtId="0" fontId="0" fillId="7" borderId="115" xfId="0" applyFill="1" applyBorder="1" applyAlignment="1">
      <alignment horizontal="right" wrapText="1"/>
    </xf>
    <xf numFmtId="0" fontId="0" fillId="7" borderId="123" xfId="0" applyFill="1" applyBorder="1"/>
    <xf numFmtId="0" fontId="0" fillId="21" borderId="125" xfId="0" applyFill="1" applyBorder="1" applyAlignment="1">
      <alignment horizontal="center" vertical="center"/>
    </xf>
    <xf numFmtId="0" fontId="0" fillId="7" borderId="43" xfId="0" applyFill="1" applyBorder="1" applyAlignment="1">
      <alignment horizontal="center" vertical="center"/>
    </xf>
    <xf numFmtId="0" fontId="0" fillId="7" borderId="108" xfId="0" applyFill="1" applyBorder="1" applyAlignment="1">
      <alignment horizontal="center" vertical="center"/>
    </xf>
    <xf numFmtId="0" fontId="0" fillId="23" borderId="108" xfId="0" applyFill="1" applyBorder="1" applyAlignment="1">
      <alignment horizontal="center" vertical="center"/>
    </xf>
    <xf numFmtId="0" fontId="0" fillId="24" borderId="108" xfId="0" applyFill="1" applyBorder="1" applyAlignment="1">
      <alignment horizontal="center" vertical="center"/>
    </xf>
    <xf numFmtId="0" fontId="84" fillId="21" borderId="126" xfId="0" applyFont="1" applyFill="1" applyBorder="1" applyAlignment="1">
      <alignment horizontal="center" vertical="center"/>
    </xf>
    <xf numFmtId="0" fontId="84" fillId="7" borderId="55" xfId="0" applyFont="1" applyFill="1" applyBorder="1" applyAlignment="1">
      <alignment horizontal="center" vertical="center"/>
    </xf>
    <xf numFmtId="0" fontId="84" fillId="7" borderId="106" xfId="0" applyFont="1" applyFill="1" applyBorder="1" applyAlignment="1">
      <alignment horizontal="center" vertical="center"/>
    </xf>
    <xf numFmtId="0" fontId="84" fillId="23" borderId="55" xfId="0" applyFont="1" applyFill="1" applyBorder="1" applyAlignment="1">
      <alignment horizontal="center" vertical="center"/>
    </xf>
    <xf numFmtId="0" fontId="84" fillId="24" borderId="55" xfId="0" applyFont="1" applyFill="1" applyBorder="1" applyAlignment="1">
      <alignment horizontal="center" vertical="center"/>
    </xf>
    <xf numFmtId="0" fontId="17" fillId="7" borderId="0" xfId="0" applyFont="1" applyFill="1"/>
    <xf numFmtId="0" fontId="19" fillId="2" borderId="3" xfId="0" applyFont="1" applyFill="1" applyBorder="1" applyAlignment="1">
      <alignment horizontal="center" vertical="center" wrapText="1"/>
    </xf>
    <xf numFmtId="0" fontId="15" fillId="2" borderId="6" xfId="0" applyFont="1" applyFill="1" applyBorder="1" applyAlignment="1">
      <alignment horizontal="center" vertical="center" wrapText="1"/>
    </xf>
    <xf numFmtId="4" fontId="21" fillId="2" borderId="132" xfId="0" applyNumberFormat="1" applyFont="1" applyFill="1" applyBorder="1" applyAlignment="1">
      <alignment horizontal="center" vertical="center" wrapText="1"/>
    </xf>
    <xf numFmtId="0" fontId="21" fillId="2" borderId="132" xfId="0" applyFont="1" applyFill="1" applyBorder="1" applyAlignment="1">
      <alignment horizontal="center" vertical="center" wrapText="1"/>
    </xf>
    <xf numFmtId="0" fontId="4" fillId="2" borderId="133" xfId="0" applyFont="1" applyFill="1" applyBorder="1" applyAlignment="1">
      <alignment horizontal="center" vertical="center"/>
    </xf>
    <xf numFmtId="0" fontId="18" fillId="27" borderId="0" xfId="2" applyFont="1" applyFill="1" applyBorder="1" applyAlignment="1" applyProtection="1">
      <alignment vertical="center" wrapText="1"/>
    </xf>
    <xf numFmtId="0" fontId="18" fillId="27" borderId="9" xfId="2" applyFont="1" applyFill="1" applyBorder="1" applyAlignment="1" applyProtection="1">
      <alignment vertical="center" wrapText="1"/>
    </xf>
    <xf numFmtId="0" fontId="20" fillId="2" borderId="5" xfId="0" applyFont="1" applyFill="1" applyBorder="1" applyAlignment="1">
      <alignment horizontal="center" vertical="center" wrapText="1"/>
    </xf>
    <xf numFmtId="0" fontId="20" fillId="2" borderId="4" xfId="0" applyFont="1" applyFill="1" applyBorder="1" applyAlignment="1">
      <alignment horizontal="center" vertical="center" wrapText="1"/>
    </xf>
    <xf numFmtId="167" fontId="12" fillId="11" borderId="128" xfId="0" applyNumberFormat="1" applyFont="1" applyFill="1" applyBorder="1" applyAlignment="1" applyProtection="1">
      <alignment horizontal="center" vertical="center" wrapText="1"/>
      <protection locked="0"/>
    </xf>
    <xf numFmtId="167" fontId="12" fillId="11" borderId="3" xfId="0" applyNumberFormat="1" applyFont="1" applyFill="1" applyBorder="1" applyAlignment="1" applyProtection="1">
      <alignment horizontal="center" vertical="center" wrapText="1"/>
      <protection locked="0"/>
    </xf>
    <xf numFmtId="167" fontId="12" fillId="11" borderId="133" xfId="0" applyNumberFormat="1" applyFont="1" applyFill="1" applyBorder="1" applyAlignment="1" applyProtection="1">
      <alignment horizontal="center" vertical="center" wrapText="1"/>
      <protection locked="0"/>
    </xf>
    <xf numFmtId="1" fontId="12" fillId="11" borderId="3" xfId="0" applyNumberFormat="1" applyFont="1" applyFill="1" applyBorder="1" applyAlignment="1" applyProtection="1">
      <alignment horizontal="center" vertical="center" wrapText="1"/>
      <protection locked="0"/>
    </xf>
    <xf numFmtId="0" fontId="12" fillId="11" borderId="131" xfId="0" applyFont="1" applyFill="1" applyBorder="1" applyAlignment="1" applyProtection="1">
      <alignment horizontal="center" vertical="center" wrapText="1"/>
      <protection locked="0"/>
    </xf>
    <xf numFmtId="0" fontId="12" fillId="11" borderId="3" xfId="0" applyFont="1" applyFill="1" applyBorder="1" applyAlignment="1" applyProtection="1">
      <alignment horizontal="center" vertical="center" wrapText="1"/>
      <protection locked="0"/>
    </xf>
    <xf numFmtId="167" fontId="12" fillId="11" borderId="5" xfId="0" applyNumberFormat="1" applyFont="1" applyFill="1" applyBorder="1" applyAlignment="1" applyProtection="1">
      <alignment horizontal="center" vertical="center" wrapText="1"/>
      <protection locked="0"/>
    </xf>
    <xf numFmtId="0" fontId="0" fillId="27" borderId="88" xfId="0" applyFill="1" applyBorder="1"/>
    <xf numFmtId="0" fontId="0" fillId="27" borderId="89" xfId="0" applyFill="1" applyBorder="1"/>
    <xf numFmtId="0" fontId="0" fillId="27" borderId="90" xfId="0" applyFill="1" applyBorder="1"/>
    <xf numFmtId="0" fontId="12" fillId="6" borderId="134" xfId="0" applyFont="1" applyFill="1" applyBorder="1" applyAlignment="1">
      <alignment horizontal="center" vertical="center" wrapText="1"/>
    </xf>
    <xf numFmtId="0" fontId="0" fillId="27" borderId="0" xfId="0" applyFill="1"/>
    <xf numFmtId="0" fontId="0" fillId="27" borderId="92" xfId="0" applyFill="1" applyBorder="1"/>
    <xf numFmtId="0" fontId="4" fillId="4" borderId="128" xfId="0" applyFont="1" applyFill="1" applyBorder="1" applyAlignment="1">
      <alignment horizontal="center" vertical="center"/>
    </xf>
    <xf numFmtId="0" fontId="0" fillId="27" borderId="41" xfId="0" applyFill="1" applyBorder="1" applyAlignment="1">
      <alignment horizontal="right" wrapText="1"/>
    </xf>
    <xf numFmtId="0" fontId="0" fillId="27" borderId="42" xfId="0" applyFill="1" applyBorder="1"/>
    <xf numFmtId="0" fontId="0" fillId="27" borderId="43" xfId="0" applyFill="1" applyBorder="1"/>
    <xf numFmtId="0" fontId="12" fillId="6" borderId="135" xfId="0" applyFont="1" applyFill="1" applyBorder="1" applyAlignment="1">
      <alignment horizontal="center" vertical="center" wrapText="1"/>
    </xf>
    <xf numFmtId="0" fontId="0" fillId="25" borderId="89" xfId="0" applyFill="1" applyBorder="1"/>
    <xf numFmtId="0" fontId="0" fillId="25" borderId="90" xfId="0" applyFill="1" applyBorder="1"/>
    <xf numFmtId="0" fontId="0" fillId="25" borderId="0" xfId="0" applyFill="1"/>
    <xf numFmtId="0" fontId="0" fillId="25" borderId="92" xfId="0" applyFill="1" applyBorder="1"/>
    <xf numFmtId="0" fontId="0" fillId="25" borderId="91" xfId="0" applyFill="1" applyBorder="1" applyAlignment="1">
      <alignment horizontal="center" wrapText="1"/>
    </xf>
    <xf numFmtId="1" fontId="12" fillId="6" borderId="5" xfId="0" applyNumberFormat="1" applyFont="1" applyFill="1" applyBorder="1" applyAlignment="1">
      <alignment horizontal="center" vertical="center" wrapText="1"/>
    </xf>
    <xf numFmtId="0" fontId="0" fillId="25" borderId="42" xfId="0" applyFill="1" applyBorder="1"/>
    <xf numFmtId="3" fontId="0" fillId="7" borderId="118" xfId="0" applyNumberFormat="1" applyFill="1" applyBorder="1"/>
    <xf numFmtId="3" fontId="0" fillId="7" borderId="118" xfId="0" applyNumberFormat="1" applyFill="1" applyBorder="1" applyAlignment="1">
      <alignment horizontal="right" wrapText="1"/>
    </xf>
    <xf numFmtId="3" fontId="0" fillId="7" borderId="116" xfId="0" applyNumberFormat="1" applyFill="1" applyBorder="1"/>
    <xf numFmtId="3" fontId="0" fillId="21" borderId="124" xfId="0" applyNumberFormat="1" applyFill="1" applyBorder="1" applyAlignment="1">
      <alignment horizontal="center" vertical="center"/>
    </xf>
    <xf numFmtId="3" fontId="0" fillId="7" borderId="92" xfId="0" applyNumberFormat="1" applyFill="1" applyBorder="1" applyAlignment="1">
      <alignment horizontal="center" vertical="center"/>
    </xf>
    <xf numFmtId="3" fontId="0" fillId="7" borderId="109" xfId="0" applyNumberFormat="1" applyFill="1" applyBorder="1" applyAlignment="1">
      <alignment horizontal="center" vertical="center"/>
    </xf>
    <xf numFmtId="3" fontId="0" fillId="23" borderId="109" xfId="0" applyNumberFormat="1" applyFill="1" applyBorder="1" applyAlignment="1">
      <alignment horizontal="center" vertical="center"/>
    </xf>
    <xf numFmtId="3" fontId="0" fillId="7" borderId="115" xfId="0" applyNumberFormat="1" applyFill="1" applyBorder="1"/>
    <xf numFmtId="3" fontId="0" fillId="7" borderId="115" xfId="0" applyNumberFormat="1" applyFill="1" applyBorder="1" applyAlignment="1">
      <alignment horizontal="right" wrapText="1"/>
    </xf>
    <xf numFmtId="3" fontId="0" fillId="7" borderId="123" xfId="0" applyNumberFormat="1" applyFill="1" applyBorder="1"/>
    <xf numFmtId="3" fontId="0" fillId="21" borderId="125" xfId="0" applyNumberFormat="1" applyFill="1" applyBorder="1" applyAlignment="1">
      <alignment horizontal="center" vertical="center"/>
    </xf>
    <xf numFmtId="3" fontId="0" fillId="7" borderId="43" xfId="0" applyNumberFormat="1" applyFill="1" applyBorder="1" applyAlignment="1">
      <alignment horizontal="center" vertical="center"/>
    </xf>
    <xf numFmtId="3" fontId="0" fillId="7" borderId="108" xfId="0" applyNumberFormat="1" applyFill="1" applyBorder="1" applyAlignment="1">
      <alignment horizontal="center" vertical="center"/>
    </xf>
    <xf numFmtId="3" fontId="0" fillId="23" borderId="108" xfId="0" applyNumberFormat="1" applyFill="1" applyBorder="1" applyAlignment="1">
      <alignment horizontal="center" vertical="center"/>
    </xf>
    <xf numFmtId="1" fontId="0" fillId="7" borderId="0" xfId="0" applyNumberFormat="1" applyFill="1"/>
    <xf numFmtId="3" fontId="0" fillId="7" borderId="0" xfId="0" applyNumberFormat="1" applyFill="1"/>
    <xf numFmtId="3" fontId="84" fillId="21" borderId="126" xfId="0" applyNumberFormat="1" applyFont="1" applyFill="1" applyBorder="1" applyAlignment="1">
      <alignment horizontal="center" vertical="center"/>
    </xf>
    <xf numFmtId="3" fontId="84" fillId="7" borderId="55" xfId="0" applyNumberFormat="1" applyFont="1" applyFill="1" applyBorder="1" applyAlignment="1">
      <alignment horizontal="center" vertical="center"/>
    </xf>
    <xf numFmtId="3" fontId="84" fillId="7" borderId="106" xfId="0" applyNumberFormat="1" applyFont="1" applyFill="1" applyBorder="1" applyAlignment="1">
      <alignment horizontal="center" vertical="center"/>
    </xf>
    <xf numFmtId="3" fontId="84" fillId="23" borderId="55" xfId="0" applyNumberFormat="1" applyFont="1" applyFill="1" applyBorder="1" applyAlignment="1">
      <alignment horizontal="center" vertical="center"/>
    </xf>
    <xf numFmtId="0" fontId="94" fillId="2" borderId="140" xfId="0" applyFont="1" applyFill="1" applyBorder="1" applyAlignment="1">
      <alignment vertical="center" wrapText="1"/>
    </xf>
    <xf numFmtId="1" fontId="4" fillId="10" borderId="3" xfId="0" applyNumberFormat="1" applyFont="1" applyFill="1" applyBorder="1" applyAlignment="1">
      <alignment horizontal="center" vertical="center"/>
    </xf>
    <xf numFmtId="0" fontId="7" fillId="10" borderId="3" xfId="0" applyFont="1" applyFill="1" applyBorder="1" applyAlignment="1">
      <alignment horizontal="center" vertical="center"/>
    </xf>
    <xf numFmtId="0" fontId="30" fillId="6" borderId="134" xfId="0" applyFont="1" applyFill="1" applyBorder="1" applyAlignment="1">
      <alignment horizontal="center" vertical="center" wrapText="1"/>
    </xf>
    <xf numFmtId="0" fontId="74" fillId="6" borderId="134" xfId="0" applyFont="1" applyFill="1" applyBorder="1" applyAlignment="1">
      <alignment horizontal="center" vertical="center" wrapText="1"/>
    </xf>
    <xf numFmtId="0" fontId="12" fillId="6" borderId="146" xfId="0" applyFont="1" applyFill="1" applyBorder="1" applyAlignment="1">
      <alignment horizontal="center" vertical="center" wrapText="1"/>
    </xf>
    <xf numFmtId="1" fontId="12" fillId="6" borderId="137" xfId="0" applyNumberFormat="1" applyFont="1" applyFill="1" applyBorder="1" applyAlignment="1">
      <alignment horizontal="center" vertical="center" wrapText="1"/>
    </xf>
    <xf numFmtId="0" fontId="12" fillId="25" borderId="41" xfId="0" applyFont="1" applyFill="1" applyBorder="1" applyAlignment="1">
      <alignment horizontal="center" vertical="center" wrapText="1"/>
    </xf>
    <xf numFmtId="1" fontId="12" fillId="25" borderId="42" xfId="0" applyNumberFormat="1" applyFont="1" applyFill="1" applyBorder="1" applyAlignment="1" applyProtection="1">
      <alignment horizontal="center" vertical="center" wrapText="1"/>
      <protection locked="0"/>
    </xf>
    <xf numFmtId="0" fontId="7" fillId="28" borderId="3" xfId="0" applyFont="1" applyFill="1" applyBorder="1" applyAlignment="1">
      <alignment horizontal="center" vertical="center"/>
    </xf>
    <xf numFmtId="1" fontId="4" fillId="28" borderId="3" xfId="0" applyNumberFormat="1" applyFont="1" applyFill="1" applyBorder="1" applyAlignment="1">
      <alignment horizontal="center" vertical="center" wrapText="1"/>
    </xf>
    <xf numFmtId="0" fontId="55" fillId="2" borderId="3" xfId="0" applyFont="1" applyFill="1" applyBorder="1" applyAlignment="1">
      <alignment horizontal="center" vertical="center" wrapText="1"/>
    </xf>
    <xf numFmtId="1" fontId="4" fillId="10" borderId="138" xfId="0" applyNumberFormat="1" applyFont="1" applyFill="1" applyBorder="1" applyAlignment="1">
      <alignment horizontal="center" vertical="center"/>
    </xf>
    <xf numFmtId="0" fontId="7" fillId="10" borderId="139" xfId="0" applyFont="1" applyFill="1" applyBorder="1" applyAlignment="1">
      <alignment horizontal="center" vertical="center"/>
    </xf>
    <xf numFmtId="0" fontId="7" fillId="28" borderId="150" xfId="0" applyFont="1" applyFill="1" applyBorder="1" applyAlignment="1">
      <alignment horizontal="center" vertical="center"/>
    </xf>
    <xf numFmtId="0" fontId="7" fillId="2" borderId="152" xfId="0" applyFont="1" applyFill="1" applyBorder="1" applyAlignment="1">
      <alignment horizontal="center" vertical="center"/>
    </xf>
    <xf numFmtId="0" fontId="7" fillId="0" borderId="138" xfId="0" applyFont="1" applyBorder="1"/>
    <xf numFmtId="0" fontId="7" fillId="0" borderId="8" xfId="0" applyFont="1" applyBorder="1"/>
    <xf numFmtId="0" fontId="7" fillId="0" borderId="139" xfId="0" applyFont="1" applyBorder="1"/>
    <xf numFmtId="0" fontId="18" fillId="0" borderId="9" xfId="2" applyFont="1" applyBorder="1" applyAlignment="1" applyProtection="1">
      <alignment wrapText="1"/>
    </xf>
    <xf numFmtId="0" fontId="102" fillId="0" borderId="0" xfId="0" applyFont="1" applyAlignment="1">
      <alignment horizontal="center" vertical="top"/>
    </xf>
    <xf numFmtId="4" fontId="21" fillId="2" borderId="128" xfId="0" applyNumberFormat="1" applyFont="1" applyFill="1" applyBorder="1" applyAlignment="1">
      <alignment horizontal="center" vertical="center" wrapText="1"/>
    </xf>
    <xf numFmtId="0" fontId="21" fillId="2" borderId="128" xfId="0" applyFont="1" applyFill="1" applyBorder="1" applyAlignment="1">
      <alignment horizontal="center" vertical="center" wrapText="1"/>
    </xf>
    <xf numFmtId="0" fontId="18" fillId="2" borderId="159" xfId="0" applyFont="1" applyFill="1" applyBorder="1" applyAlignment="1">
      <alignment horizontal="center" vertical="center" wrapText="1"/>
    </xf>
    <xf numFmtId="0" fontId="18" fillId="28" borderId="167" xfId="0" applyFont="1" applyFill="1" applyBorder="1" applyAlignment="1">
      <alignment horizontal="center" vertical="center" wrapText="1"/>
    </xf>
    <xf numFmtId="4" fontId="18" fillId="2" borderId="169" xfId="0" applyNumberFormat="1" applyFont="1" applyFill="1" applyBorder="1" applyAlignment="1">
      <alignment horizontal="center" vertical="center" wrapText="1"/>
    </xf>
    <xf numFmtId="4" fontId="18" fillId="28" borderId="170" xfId="0" applyNumberFormat="1" applyFont="1" applyFill="1" applyBorder="1" applyAlignment="1">
      <alignment horizontal="center" vertical="center" wrapText="1"/>
    </xf>
    <xf numFmtId="4" fontId="18" fillId="22" borderId="171" xfId="0" applyNumberFormat="1" applyFont="1" applyFill="1" applyBorder="1" applyAlignment="1">
      <alignment horizontal="center" vertical="center" wrapText="1"/>
    </xf>
    <xf numFmtId="0" fontId="18" fillId="22" borderId="164" xfId="0" applyFont="1" applyFill="1" applyBorder="1" applyAlignment="1">
      <alignment horizontal="center" vertical="center" wrapText="1"/>
    </xf>
    <xf numFmtId="0" fontId="105" fillId="2" borderId="139" xfId="0" applyFont="1" applyFill="1" applyBorder="1" applyAlignment="1">
      <alignment horizontal="center" vertical="center" wrapText="1"/>
    </xf>
    <xf numFmtId="1" fontId="105" fillId="28" borderId="149" xfId="0" applyNumberFormat="1" applyFont="1" applyFill="1" applyBorder="1" applyAlignment="1">
      <alignment horizontal="center" vertical="center" wrapText="1"/>
    </xf>
    <xf numFmtId="0" fontId="4" fillId="0" borderId="0" xfId="0" applyFont="1" applyAlignment="1">
      <alignment horizontal="center"/>
    </xf>
    <xf numFmtId="0" fontId="5" fillId="0" borderId="0" xfId="0" applyFont="1" applyAlignment="1">
      <alignment horizontal="center"/>
    </xf>
    <xf numFmtId="0" fontId="19" fillId="0" borderId="0" xfId="0" applyFont="1" applyAlignment="1">
      <alignment horizontal="center" vertical="center" wrapText="1"/>
    </xf>
    <xf numFmtId="0" fontId="22" fillId="0" borderId="0" xfId="2" applyFont="1" applyFill="1" applyAlignment="1">
      <alignment horizontal="center" vertical="center" wrapText="1"/>
    </xf>
    <xf numFmtId="0" fontId="7" fillId="0" borderId="0" xfId="0" applyFont="1" applyAlignment="1">
      <alignment horizontal="left" vertical="top" wrapText="1"/>
    </xf>
    <xf numFmtId="0" fontId="18" fillId="0" borderId="0" xfId="0" applyFont="1" applyAlignment="1">
      <alignment horizontal="center" vertical="center" wrapText="1"/>
    </xf>
    <xf numFmtId="0" fontId="18" fillId="0" borderId="0" xfId="0" applyFont="1" applyAlignment="1">
      <alignment horizontal="center"/>
    </xf>
    <xf numFmtId="0" fontId="15" fillId="0" borderId="0" xfId="0" applyFont="1" applyAlignment="1">
      <alignment horizontal="center" vertical="center"/>
    </xf>
    <xf numFmtId="0" fontId="18" fillId="0" borderId="0" xfId="0" applyFont="1" applyAlignment="1">
      <alignment horizontal="left" vertical="center" wrapText="1"/>
    </xf>
    <xf numFmtId="0" fontId="0" fillId="0" borderId="0" xfId="0" applyAlignment="1">
      <alignment horizontal="center"/>
    </xf>
    <xf numFmtId="0" fontId="19" fillId="0" borderId="0" xfId="0" applyFont="1" applyAlignment="1">
      <alignment horizontal="center" vertical="center"/>
    </xf>
    <xf numFmtId="0" fontId="38" fillId="3" borderId="0" xfId="0" applyFont="1" applyFill="1" applyAlignment="1">
      <alignment horizontal="center" vertical="center" wrapText="1"/>
    </xf>
    <xf numFmtId="0" fontId="38" fillId="11" borderId="0" xfId="0" applyFont="1" applyFill="1" applyAlignment="1">
      <alignment horizontal="center" vertical="center" wrapText="1"/>
    </xf>
    <xf numFmtId="0" fontId="7" fillId="10" borderId="4" xfId="0" applyFont="1" applyFill="1" applyBorder="1" applyAlignment="1">
      <alignment horizontal="left" vertical="center"/>
    </xf>
    <xf numFmtId="0" fontId="7" fillId="10" borderId="5" xfId="0" applyFont="1" applyFill="1" applyBorder="1" applyAlignment="1">
      <alignment horizontal="left" vertical="center"/>
    </xf>
    <xf numFmtId="0" fontId="21" fillId="2" borderId="4" xfId="0" applyFont="1" applyFill="1" applyBorder="1" applyAlignment="1">
      <alignment horizontal="left" vertical="center" wrapText="1"/>
    </xf>
    <xf numFmtId="0" fontId="21" fillId="2" borderId="5" xfId="0" applyFont="1" applyFill="1" applyBorder="1" applyAlignment="1">
      <alignment horizontal="left" vertical="center" wrapText="1"/>
    </xf>
    <xf numFmtId="0" fontId="23" fillId="0" borderId="0" xfId="2" applyFont="1" applyAlignment="1" applyProtection="1">
      <alignment horizontal="left" vertical="center"/>
    </xf>
    <xf numFmtId="0" fontId="18" fillId="0" borderId="0" xfId="0" applyFont="1" applyAlignment="1">
      <alignment horizontal="left" vertical="center"/>
    </xf>
    <xf numFmtId="0" fontId="8" fillId="0" borderId="0" xfId="0" applyFont="1" applyAlignment="1">
      <alignment horizontal="left" vertical="center" wrapText="1"/>
    </xf>
    <xf numFmtId="0" fontId="18" fillId="0" borderId="136" xfId="0" applyFont="1" applyBorder="1" applyAlignment="1">
      <alignment horizontal="center"/>
    </xf>
    <xf numFmtId="0" fontId="18" fillId="0" borderId="9" xfId="0" applyFont="1" applyBorder="1" applyAlignment="1">
      <alignment horizontal="center"/>
    </xf>
    <xf numFmtId="0" fontId="18" fillId="0" borderId="137" xfId="0" applyFont="1" applyBorder="1" applyAlignment="1">
      <alignment horizontal="center"/>
    </xf>
    <xf numFmtId="0" fontId="21" fillId="2" borderId="3" xfId="0" applyFont="1" applyFill="1" applyBorder="1" applyAlignment="1">
      <alignment horizontal="left" vertical="center" wrapText="1"/>
    </xf>
    <xf numFmtId="0" fontId="19" fillId="0" borderId="0" xfId="0" applyFont="1" applyAlignment="1">
      <alignment horizontal="center"/>
    </xf>
    <xf numFmtId="0" fontId="23" fillId="0" borderId="0" xfId="2" applyFont="1" applyAlignment="1" applyProtection="1">
      <alignment horizontal="center" vertical="top"/>
    </xf>
    <xf numFmtId="0" fontId="18" fillId="0" borderId="4" xfId="2" applyFont="1" applyBorder="1" applyAlignment="1" applyProtection="1">
      <alignment horizontal="center" wrapText="1"/>
    </xf>
    <xf numFmtId="0" fontId="18" fillId="0" borderId="6" xfId="2" applyFont="1" applyBorder="1" applyAlignment="1" applyProtection="1">
      <alignment horizontal="center" wrapText="1"/>
    </xf>
    <xf numFmtId="0" fontId="18" fillId="0" borderId="5" xfId="2" applyFont="1" applyBorder="1" applyAlignment="1" applyProtection="1">
      <alignment horizontal="center" wrapText="1"/>
    </xf>
    <xf numFmtId="0" fontId="89" fillId="26" borderId="88" xfId="0" applyFont="1" applyFill="1" applyBorder="1" applyAlignment="1">
      <alignment horizontal="center" vertical="center" textRotation="90" wrapText="1"/>
    </xf>
    <xf numFmtId="0" fontId="89" fillId="26" borderId="91" xfId="0" applyFont="1" applyFill="1" applyBorder="1" applyAlignment="1">
      <alignment horizontal="center" vertical="center" textRotation="90"/>
    </xf>
    <xf numFmtId="0" fontId="89" fillId="26" borderId="41" xfId="0" applyFont="1" applyFill="1" applyBorder="1" applyAlignment="1">
      <alignment horizontal="center" vertical="center" textRotation="90"/>
    </xf>
    <xf numFmtId="0" fontId="97" fillId="25" borderId="0" xfId="0" applyFont="1" applyFill="1" applyAlignment="1">
      <alignment horizontal="left" vertical="top" wrapText="1"/>
    </xf>
    <xf numFmtId="0" fontId="97" fillId="25" borderId="92" xfId="0" applyFont="1" applyFill="1" applyBorder="1" applyAlignment="1">
      <alignment horizontal="left" vertical="top" wrapText="1"/>
    </xf>
    <xf numFmtId="0" fontId="97" fillId="25" borderId="42" xfId="0" applyFont="1" applyFill="1" applyBorder="1" applyAlignment="1">
      <alignment horizontal="left" vertical="top" wrapText="1"/>
    </xf>
    <xf numFmtId="0" fontId="97" fillId="25" borderId="43" xfId="0" applyFont="1" applyFill="1" applyBorder="1" applyAlignment="1">
      <alignment horizontal="left" vertical="top" wrapText="1"/>
    </xf>
    <xf numFmtId="0" fontId="89" fillId="23" borderId="107" xfId="0" applyFont="1" applyFill="1" applyBorder="1" applyAlignment="1">
      <alignment horizontal="center" vertical="center" textRotation="90" wrapText="1"/>
    </xf>
    <xf numFmtId="0" fontId="89" fillId="23" borderId="109" xfId="0" applyFont="1" applyFill="1" applyBorder="1" applyAlignment="1">
      <alignment horizontal="center" vertical="center" textRotation="90" wrapText="1"/>
    </xf>
    <xf numFmtId="0" fontId="89" fillId="23" borderId="108" xfId="0" applyFont="1" applyFill="1" applyBorder="1" applyAlignment="1">
      <alignment horizontal="center" vertical="center" textRotation="90" wrapText="1"/>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8" borderId="4" xfId="0" applyFont="1" applyFill="1" applyBorder="1" applyAlignment="1">
      <alignment horizontal="center" vertical="center" wrapText="1"/>
    </xf>
    <xf numFmtId="0" fontId="21" fillId="28" borderId="6" xfId="0" applyFont="1" applyFill="1" applyBorder="1" applyAlignment="1">
      <alignment horizontal="center" vertical="center" wrapText="1"/>
    </xf>
    <xf numFmtId="0" fontId="21" fillId="28" borderId="5" xfId="0" applyFont="1" applyFill="1" applyBorder="1" applyAlignment="1">
      <alignment horizontal="center" vertical="center" wrapText="1"/>
    </xf>
    <xf numFmtId="0" fontId="21" fillId="2" borderId="151"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27" xfId="0" applyFont="1" applyFill="1" applyBorder="1" applyAlignment="1">
      <alignment horizontal="center" vertical="center" wrapText="1"/>
    </xf>
    <xf numFmtId="0" fontId="21" fillId="28" borderId="147" xfId="0" applyFont="1" applyFill="1" applyBorder="1" applyAlignment="1">
      <alignment horizontal="center" vertical="center" wrapText="1"/>
    </xf>
    <xf numFmtId="0" fontId="21" fillId="28" borderId="148" xfId="0" applyFont="1" applyFill="1" applyBorder="1" applyAlignment="1">
      <alignment horizontal="center" vertical="center" wrapText="1"/>
    </xf>
    <xf numFmtId="0" fontId="21" fillId="28" borderId="149" xfId="0" applyFont="1" applyFill="1" applyBorder="1" applyAlignment="1">
      <alignment horizontal="center" vertical="center" wrapText="1"/>
    </xf>
    <xf numFmtId="0" fontId="56" fillId="2" borderId="4" xfId="0" applyFont="1" applyFill="1" applyBorder="1" applyAlignment="1">
      <alignment horizontal="center" vertical="center" wrapText="1"/>
    </xf>
    <xf numFmtId="0" fontId="55" fillId="2" borderId="6" xfId="0" applyFont="1" applyFill="1" applyBorder="1" applyAlignment="1">
      <alignment horizontal="center" vertical="center" wrapText="1"/>
    </xf>
    <xf numFmtId="0" fontId="21" fillId="2" borderId="129" xfId="0" applyFont="1" applyFill="1" applyBorder="1" applyAlignment="1">
      <alignment horizontal="center" vertical="center" wrapText="1"/>
    </xf>
    <xf numFmtId="0" fontId="21" fillId="2" borderId="130" xfId="0" applyFont="1" applyFill="1" applyBorder="1" applyAlignment="1">
      <alignment horizontal="center" vertical="center" wrapText="1"/>
    </xf>
    <xf numFmtId="0" fontId="21" fillId="2" borderId="131" xfId="0" applyFont="1" applyFill="1" applyBorder="1" applyAlignment="1">
      <alignment horizontal="center" vertical="center" wrapText="1"/>
    </xf>
    <xf numFmtId="0" fontId="4" fillId="11" borderId="4" xfId="0" applyFont="1" applyFill="1" applyBorder="1" applyAlignment="1" applyProtection="1">
      <alignment horizontal="center" vertical="center"/>
      <protection locked="0"/>
    </xf>
    <xf numFmtId="0" fontId="4" fillId="11" borderId="6" xfId="0" applyFont="1" applyFill="1" applyBorder="1" applyAlignment="1" applyProtection="1">
      <alignment horizontal="center" vertical="center"/>
      <protection locked="0"/>
    </xf>
    <xf numFmtId="0" fontId="4" fillId="11" borderId="140" xfId="0" applyFont="1" applyFill="1" applyBorder="1" applyAlignment="1" applyProtection="1">
      <alignment horizontal="center" vertical="center"/>
      <protection locked="0"/>
    </xf>
    <xf numFmtId="0" fontId="7" fillId="10" borderId="138"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7" fillId="10" borderId="139" xfId="0" applyFont="1" applyFill="1" applyBorder="1" applyAlignment="1">
      <alignment horizontal="center" vertical="center" wrapText="1"/>
    </xf>
    <xf numFmtId="0" fontId="18" fillId="21" borderId="153" xfId="2" applyFont="1" applyFill="1" applyBorder="1" applyAlignment="1" applyProtection="1">
      <alignment horizontal="center" vertical="center" wrapText="1"/>
    </xf>
    <xf numFmtId="0" fontId="18" fillId="21" borderId="154" xfId="2" applyFont="1" applyFill="1" applyBorder="1" applyAlignment="1" applyProtection="1">
      <alignment horizontal="center" vertical="center" wrapText="1"/>
    </xf>
    <xf numFmtId="0" fontId="18" fillId="21" borderId="155" xfId="2" applyFont="1" applyFill="1" applyBorder="1" applyAlignment="1" applyProtection="1">
      <alignment horizontal="center" vertical="center" wrapText="1"/>
    </xf>
    <xf numFmtId="0" fontId="98" fillId="28" borderId="168" xfId="0" applyFont="1" applyFill="1" applyBorder="1" applyAlignment="1">
      <alignment horizontal="center" vertical="center" wrapText="1"/>
    </xf>
    <xf numFmtId="0" fontId="98" fillId="28" borderId="165" xfId="0" applyFont="1" applyFill="1" applyBorder="1" applyAlignment="1">
      <alignment horizontal="center" vertical="center" wrapText="1"/>
    </xf>
    <xf numFmtId="0" fontId="98" fillId="28" borderId="166" xfId="0" applyFont="1" applyFill="1" applyBorder="1" applyAlignment="1">
      <alignment horizontal="center" vertical="center" wrapText="1"/>
    </xf>
    <xf numFmtId="0" fontId="90" fillId="7" borderId="141" xfId="0" applyFont="1" applyFill="1" applyBorder="1" applyAlignment="1">
      <alignment horizontal="center" wrapText="1"/>
    </xf>
    <xf numFmtId="0" fontId="90" fillId="7" borderId="142" xfId="0" applyFont="1" applyFill="1" applyBorder="1" applyAlignment="1">
      <alignment horizontal="center" wrapText="1"/>
    </xf>
    <xf numFmtId="0" fontId="90" fillId="7" borderId="80" xfId="0" applyFont="1" applyFill="1" applyBorder="1" applyAlignment="1">
      <alignment horizontal="center" wrapText="1"/>
    </xf>
    <xf numFmtId="0" fontId="90" fillId="7" borderId="143" xfId="0" applyFont="1" applyFill="1" applyBorder="1" applyAlignment="1">
      <alignment horizontal="center" wrapText="1"/>
    </xf>
    <xf numFmtId="0" fontId="90" fillId="7" borderId="0" xfId="0" applyFont="1" applyFill="1" applyAlignment="1">
      <alignment horizontal="center" wrapText="1"/>
    </xf>
    <xf numFmtId="0" fontId="90" fillId="7" borderId="144" xfId="0" applyFont="1" applyFill="1" applyBorder="1" applyAlignment="1">
      <alignment horizontal="center" wrapText="1"/>
    </xf>
    <xf numFmtId="0" fontId="0" fillId="7" borderId="141" xfId="0" applyFill="1" applyBorder="1" applyAlignment="1">
      <alignment horizontal="center" vertical="top" wrapText="1"/>
    </xf>
    <xf numFmtId="0" fontId="0" fillId="7" borderId="142" xfId="0" applyFill="1" applyBorder="1" applyAlignment="1">
      <alignment horizontal="center" vertical="top" wrapText="1"/>
    </xf>
    <xf numFmtId="0" fontId="0" fillId="7" borderId="80" xfId="0" applyFill="1" applyBorder="1" applyAlignment="1">
      <alignment horizontal="center" vertical="top" wrapText="1"/>
    </xf>
    <xf numFmtId="0" fontId="0" fillId="7" borderId="143" xfId="0" applyFill="1" applyBorder="1" applyAlignment="1">
      <alignment horizontal="center" vertical="top" wrapText="1"/>
    </xf>
    <xf numFmtId="0" fontId="0" fillId="7" borderId="0" xfId="0" applyFill="1" applyAlignment="1">
      <alignment horizontal="center" vertical="top" wrapText="1"/>
    </xf>
    <xf numFmtId="0" fontId="0" fillId="7" borderId="144" xfId="0" applyFill="1" applyBorder="1" applyAlignment="1">
      <alignment horizontal="center" vertical="top" wrapText="1"/>
    </xf>
    <xf numFmtId="0" fontId="103" fillId="25" borderId="160" xfId="0" applyFont="1" applyFill="1" applyBorder="1" applyAlignment="1">
      <alignment horizontal="center" vertical="center" wrapText="1"/>
    </xf>
    <xf numFmtId="0" fontId="103" fillId="25" borderId="0" xfId="0" applyFont="1" applyFill="1" applyAlignment="1">
      <alignment horizontal="center" vertical="center" wrapText="1"/>
    </xf>
    <xf numFmtId="0" fontId="10" fillId="7" borderId="145" xfId="2" applyFill="1" applyBorder="1" applyAlignment="1" applyProtection="1">
      <alignment horizontal="center" vertical="top"/>
    </xf>
    <xf numFmtId="0" fontId="10" fillId="7" borderId="81" xfId="2" applyFill="1" applyBorder="1" applyAlignment="1" applyProtection="1">
      <alignment horizontal="center" vertical="top"/>
    </xf>
    <xf numFmtId="0" fontId="10" fillId="7" borderId="76" xfId="2" applyFill="1" applyBorder="1" applyAlignment="1" applyProtection="1">
      <alignment horizontal="center" vertical="top"/>
    </xf>
    <xf numFmtId="0" fontId="0" fillId="7" borderId="66" xfId="0" applyFill="1" applyBorder="1" applyAlignment="1">
      <alignment horizontal="center" vertical="center" wrapText="1"/>
    </xf>
    <xf numFmtId="0" fontId="0" fillId="7" borderId="73" xfId="0" applyFill="1" applyBorder="1" applyAlignment="1">
      <alignment horizontal="center" vertical="center" wrapText="1"/>
    </xf>
    <xf numFmtId="0" fontId="0" fillId="7" borderId="58" xfId="0" applyFill="1" applyBorder="1" applyAlignment="1">
      <alignment horizontal="center" vertical="center" wrapText="1"/>
    </xf>
    <xf numFmtId="0" fontId="18" fillId="2" borderId="156" xfId="0" applyFont="1" applyFill="1" applyBorder="1" applyAlignment="1">
      <alignment horizontal="center" vertical="center" wrapText="1"/>
    </xf>
    <xf numFmtId="0" fontId="18" fillId="2" borderId="157" xfId="0" applyFont="1" applyFill="1" applyBorder="1" applyAlignment="1">
      <alignment horizontal="center" vertical="center" wrapText="1"/>
    </xf>
    <xf numFmtId="0" fontId="18" fillId="2" borderId="158" xfId="0" applyFont="1" applyFill="1" applyBorder="1" applyAlignment="1">
      <alignment horizontal="center" vertical="center" wrapText="1"/>
    </xf>
    <xf numFmtId="0" fontId="21" fillId="2" borderId="136"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1" fillId="2" borderId="137" xfId="0" applyFont="1" applyFill="1" applyBorder="1" applyAlignment="1">
      <alignment horizontal="center" vertical="center" wrapText="1"/>
    </xf>
    <xf numFmtId="0" fontId="98" fillId="22" borderId="161" xfId="0" applyFont="1" applyFill="1" applyBorder="1" applyAlignment="1">
      <alignment horizontal="center" vertical="center" wrapText="1"/>
    </xf>
    <xf numFmtId="0" fontId="98" fillId="22" borderId="162" xfId="0" applyFont="1" applyFill="1" applyBorder="1" applyAlignment="1">
      <alignment horizontal="center" vertical="center" wrapText="1"/>
    </xf>
    <xf numFmtId="0" fontId="98" fillId="22" borderId="163" xfId="0" applyFont="1" applyFill="1" applyBorder="1" applyAlignment="1">
      <alignment horizontal="center" vertical="center" wrapText="1"/>
    </xf>
    <xf numFmtId="0" fontId="10" fillId="7" borderId="145" xfId="2" applyFill="1" applyBorder="1" applyAlignment="1" applyProtection="1">
      <alignment horizontal="left" vertical="top"/>
    </xf>
    <xf numFmtId="0" fontId="10" fillId="7" borderId="81" xfId="2" applyFill="1" applyBorder="1" applyAlignment="1" applyProtection="1">
      <alignment horizontal="left" vertical="top"/>
    </xf>
    <xf numFmtId="0" fontId="10" fillId="7" borderId="76" xfId="2" applyFill="1" applyBorder="1" applyAlignment="1" applyProtection="1">
      <alignment horizontal="left" vertical="top"/>
    </xf>
    <xf numFmtId="0" fontId="13" fillId="0" borderId="1" xfId="0" applyFont="1" applyBorder="1" applyAlignment="1">
      <alignment horizontal="left" vertical="top"/>
    </xf>
    <xf numFmtId="0" fontId="80" fillId="18" borderId="107" xfId="0" applyFont="1" applyFill="1" applyBorder="1" applyAlignment="1">
      <alignment horizontal="center" vertical="center"/>
    </xf>
    <xf numFmtId="0" fontId="80" fillId="18" borderId="108" xfId="0" applyFont="1" applyFill="1" applyBorder="1" applyAlignment="1">
      <alignment horizontal="center" vertical="center"/>
    </xf>
    <xf numFmtId="0" fontId="81" fillId="18" borderId="107" xfId="0" applyFont="1" applyFill="1" applyBorder="1" applyAlignment="1">
      <alignment horizontal="center" vertical="center"/>
    </xf>
    <xf numFmtId="0" fontId="81" fillId="18" borderId="108" xfId="0" applyFont="1" applyFill="1" applyBorder="1" applyAlignment="1">
      <alignment horizontal="center" vertical="center"/>
    </xf>
    <xf numFmtId="0" fontId="81" fillId="18" borderId="109" xfId="0" applyFont="1" applyFill="1" applyBorder="1" applyAlignment="1">
      <alignment horizontal="center" vertical="center"/>
    </xf>
    <xf numFmtId="0" fontId="80" fillId="18" borderId="110" xfId="0" applyFont="1" applyFill="1" applyBorder="1" applyAlignment="1">
      <alignment horizontal="center" vertical="center"/>
    </xf>
    <xf numFmtId="0" fontId="80" fillId="18" borderId="109" xfId="0" applyFont="1" applyFill="1" applyBorder="1" applyAlignment="1">
      <alignment horizontal="center" vertical="center"/>
    </xf>
    <xf numFmtId="0" fontId="23" fillId="0" borderId="0" xfId="2" applyNumberFormat="1" applyFont="1" applyAlignment="1" applyProtection="1">
      <alignment horizontal="center" vertical="top"/>
    </xf>
    <xf numFmtId="0" fontId="18" fillId="0" borderId="0" xfId="0" applyFont="1" applyAlignment="1">
      <alignment horizontal="center" vertical="top"/>
    </xf>
    <xf numFmtId="0" fontId="51" fillId="6" borderId="37" xfId="0" applyFont="1" applyFill="1" applyBorder="1" applyAlignment="1">
      <alignment horizontal="center" vertical="center" wrapText="1"/>
    </xf>
    <xf numFmtId="0" fontId="51" fillId="6" borderId="33" xfId="0" applyFont="1" applyFill="1" applyBorder="1" applyAlignment="1">
      <alignment horizontal="center" vertical="center" wrapText="1"/>
    </xf>
    <xf numFmtId="165" fontId="30" fillId="0" borderId="0" xfId="0" applyNumberFormat="1" applyFont="1" applyAlignment="1">
      <alignment horizontal="center" vertical="center" wrapText="1"/>
    </xf>
    <xf numFmtId="0" fontId="45" fillId="6" borderId="78" xfId="0" applyFont="1" applyFill="1" applyBorder="1" applyAlignment="1">
      <alignment horizontal="center" vertical="center" wrapText="1"/>
    </xf>
    <xf numFmtId="0" fontId="45" fillId="6" borderId="79" xfId="0" applyFont="1" applyFill="1" applyBorder="1" applyAlignment="1">
      <alignment horizontal="center" vertical="center" wrapText="1"/>
    </xf>
    <xf numFmtId="0" fontId="49" fillId="11" borderId="58" xfId="0" applyFont="1" applyFill="1" applyBorder="1" applyAlignment="1" applyProtection="1">
      <alignment horizontal="center" vertical="center" wrapText="1"/>
      <protection locked="0"/>
    </xf>
    <xf numFmtId="0" fontId="49" fillId="11" borderId="77" xfId="0" applyFont="1" applyFill="1" applyBorder="1" applyAlignment="1" applyProtection="1">
      <alignment horizontal="center" vertical="center" wrapText="1"/>
      <protection locked="0"/>
    </xf>
    <xf numFmtId="0" fontId="65" fillId="14" borderId="66" xfId="0" applyFont="1" applyFill="1" applyBorder="1" applyAlignment="1">
      <alignment horizontal="center" vertical="center" wrapText="1"/>
    </xf>
    <xf numFmtId="0" fontId="62" fillId="14" borderId="58" xfId="0" applyFont="1" applyFill="1" applyBorder="1" applyAlignment="1">
      <alignment horizontal="center" vertical="center" wrapText="1"/>
    </xf>
    <xf numFmtId="0" fontId="52" fillId="3" borderId="0" xfId="0" applyFont="1" applyFill="1" applyAlignment="1">
      <alignment horizontal="center" vertical="center" wrapText="1"/>
    </xf>
    <xf numFmtId="0" fontId="45" fillId="6" borderId="75" xfId="0" applyFont="1" applyFill="1" applyBorder="1" applyAlignment="1">
      <alignment horizontal="center" vertical="center" wrapText="1"/>
    </xf>
    <xf numFmtId="0" fontId="49" fillId="11" borderId="76" xfId="0" applyFont="1" applyFill="1" applyBorder="1" applyAlignment="1" applyProtection="1">
      <alignment horizontal="center" vertical="center" wrapText="1"/>
      <protection locked="0"/>
    </xf>
    <xf numFmtId="0" fontId="58" fillId="12" borderId="93" xfId="0" applyFont="1" applyFill="1" applyBorder="1" applyAlignment="1">
      <alignment horizontal="center" vertical="center" wrapText="1"/>
    </xf>
    <xf numFmtId="0" fontId="58" fillId="12" borderId="74" xfId="0" applyFont="1" applyFill="1" applyBorder="1" applyAlignment="1">
      <alignment horizontal="center" vertical="center" wrapText="1"/>
    </xf>
    <xf numFmtId="0" fontId="58" fillId="12" borderId="94" xfId="0" applyFont="1" applyFill="1" applyBorder="1" applyAlignment="1">
      <alignment horizontal="center" vertical="center" wrapText="1"/>
    </xf>
    <xf numFmtId="0" fontId="58" fillId="12" borderId="37" xfId="0" applyFont="1" applyFill="1" applyBorder="1" applyAlignment="1">
      <alignment horizontal="center" vertical="center" wrapText="1"/>
    </xf>
    <xf numFmtId="0" fontId="58" fillId="12" borderId="33" xfId="0" applyFont="1" applyFill="1" applyBorder="1" applyAlignment="1">
      <alignment horizontal="center" vertical="center" wrapText="1"/>
    </xf>
    <xf numFmtId="0" fontId="58" fillId="12" borderId="38" xfId="0" applyFont="1" applyFill="1" applyBorder="1" applyAlignment="1">
      <alignment horizontal="center" vertical="center" wrapText="1"/>
    </xf>
    <xf numFmtId="0" fontId="48" fillId="11" borderId="0" xfId="0" applyFont="1" applyFill="1" applyAlignment="1">
      <alignment horizontal="center" vertical="center"/>
    </xf>
    <xf numFmtId="0" fontId="61" fillId="15" borderId="66" xfId="0" applyFont="1" applyFill="1" applyBorder="1" applyAlignment="1">
      <alignment horizontal="center" vertical="center"/>
    </xf>
    <xf numFmtId="0" fontId="61" fillId="15" borderId="73" xfId="0" applyFont="1" applyFill="1" applyBorder="1" applyAlignment="1">
      <alignment horizontal="center" vertical="center"/>
    </xf>
    <xf numFmtId="0" fontId="61" fillId="15" borderId="58" xfId="0" applyFont="1" applyFill="1" applyBorder="1" applyAlignment="1">
      <alignment horizontal="center" vertical="center"/>
    </xf>
    <xf numFmtId="0" fontId="30" fillId="6" borderId="66" xfId="0" applyFont="1" applyFill="1" applyBorder="1" applyAlignment="1">
      <alignment horizontal="center" vertical="center" wrapText="1"/>
    </xf>
    <xf numFmtId="0" fontId="30" fillId="6" borderId="58" xfId="0" applyFont="1" applyFill="1" applyBorder="1" applyAlignment="1">
      <alignment horizontal="center" vertical="center" wrapText="1"/>
    </xf>
    <xf numFmtId="0" fontId="45" fillId="6" borderId="33" xfId="0" applyFont="1" applyFill="1" applyBorder="1" applyAlignment="1">
      <alignment horizontal="center" vertical="center" wrapText="1"/>
    </xf>
    <xf numFmtId="0" fontId="12" fillId="11" borderId="33" xfId="0" applyFont="1" applyFill="1" applyBorder="1" applyAlignment="1" applyProtection="1">
      <alignment horizontal="center" vertical="center"/>
      <protection locked="0"/>
    </xf>
    <xf numFmtId="0" fontId="31" fillId="3" borderId="22" xfId="0" applyFont="1" applyFill="1" applyBorder="1" applyAlignment="1">
      <alignment horizontal="center" vertical="center"/>
    </xf>
    <xf numFmtId="0" fontId="31" fillId="3" borderId="23" xfId="0" applyFont="1" applyFill="1" applyBorder="1" applyAlignment="1">
      <alignment horizontal="center" vertical="center"/>
    </xf>
    <xf numFmtId="0" fontId="31" fillId="3" borderId="14" xfId="0" applyFont="1" applyFill="1" applyBorder="1" applyAlignment="1">
      <alignment horizontal="center" vertical="center"/>
    </xf>
    <xf numFmtId="0" fontId="43" fillId="0" borderId="88"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90" xfId="0" applyFont="1" applyBorder="1" applyAlignment="1">
      <alignment horizontal="center" vertical="center" wrapText="1"/>
    </xf>
    <xf numFmtId="0" fontId="43" fillId="0" borderId="91" xfId="0" applyFont="1" applyBorder="1" applyAlignment="1">
      <alignment horizontal="center" vertical="center" wrapText="1"/>
    </xf>
    <xf numFmtId="0" fontId="43" fillId="0" borderId="0" xfId="0" applyFont="1" applyAlignment="1">
      <alignment horizontal="center" vertical="center" wrapText="1"/>
    </xf>
    <xf numFmtId="0" fontId="43" fillId="0" borderId="92" xfId="0" applyFont="1" applyBorder="1" applyAlignment="1">
      <alignment horizontal="center" vertical="center" wrapText="1"/>
    </xf>
    <xf numFmtId="0" fontId="43" fillId="0" borderId="41" xfId="0" applyFont="1" applyBorder="1" applyAlignment="1">
      <alignment horizontal="center" vertical="center" wrapText="1"/>
    </xf>
    <xf numFmtId="0" fontId="43" fillId="0" borderId="42" xfId="0" applyFont="1" applyBorder="1" applyAlignment="1">
      <alignment horizontal="center" vertical="center" wrapText="1"/>
    </xf>
    <xf numFmtId="0" fontId="43" fillId="0" borderId="43" xfId="0" applyFont="1" applyBorder="1" applyAlignment="1">
      <alignment horizontal="center" vertical="center" wrapText="1"/>
    </xf>
    <xf numFmtId="0" fontId="61" fillId="17" borderId="33" xfId="0" applyFont="1" applyFill="1" applyBorder="1" applyAlignment="1">
      <alignment horizontal="center" vertical="center" wrapText="1"/>
    </xf>
    <xf numFmtId="0" fontId="59" fillId="13" borderId="37" xfId="0" applyFont="1" applyFill="1" applyBorder="1" applyAlignment="1">
      <alignment horizontal="center" vertical="center" wrapText="1"/>
    </xf>
    <xf numFmtId="0" fontId="59" fillId="13" borderId="33" xfId="0" applyFont="1" applyFill="1" applyBorder="1" applyAlignment="1">
      <alignment horizontal="center" vertical="center" wrapText="1"/>
    </xf>
    <xf numFmtId="0" fontId="60" fillId="13" borderId="33" xfId="0" applyFont="1" applyFill="1" applyBorder="1" applyAlignment="1">
      <alignment horizontal="center" vertical="center"/>
    </xf>
    <xf numFmtId="0" fontId="60" fillId="13" borderId="38" xfId="0" applyFont="1" applyFill="1" applyBorder="1" applyAlignment="1">
      <alignment horizontal="center" vertical="center"/>
    </xf>
    <xf numFmtId="0" fontId="68" fillId="14" borderId="61" xfId="0" applyFont="1" applyFill="1" applyBorder="1" applyAlignment="1">
      <alignment horizontal="center" vertical="center" wrapText="1"/>
    </xf>
    <xf numFmtId="0" fontId="59" fillId="14" borderId="80" xfId="0" applyFont="1" applyFill="1" applyBorder="1" applyAlignment="1">
      <alignment horizontal="center" vertical="center" wrapText="1"/>
    </xf>
    <xf numFmtId="0" fontId="59" fillId="14" borderId="57" xfId="0" applyFont="1" applyFill="1" applyBorder="1" applyAlignment="1">
      <alignment horizontal="center" vertical="center" wrapText="1"/>
    </xf>
    <xf numFmtId="0" fontId="59" fillId="14" borderId="76" xfId="0" applyFont="1" applyFill="1" applyBorder="1" applyAlignment="1">
      <alignment horizontal="center" vertical="center" wrapText="1"/>
    </xf>
    <xf numFmtId="0" fontId="60" fillId="14" borderId="69" xfId="0" applyFont="1" applyFill="1" applyBorder="1" applyAlignment="1">
      <alignment horizontal="center" vertical="center"/>
    </xf>
    <xf numFmtId="0" fontId="60" fillId="14" borderId="52" xfId="0" applyFont="1" applyFill="1" applyBorder="1" applyAlignment="1">
      <alignment horizontal="center" vertical="center"/>
    </xf>
    <xf numFmtId="166" fontId="60" fillId="14" borderId="105" xfId="0" applyNumberFormat="1" applyFont="1" applyFill="1" applyBorder="1" applyAlignment="1">
      <alignment horizontal="center" vertical="center"/>
    </xf>
    <xf numFmtId="166" fontId="60" fillId="14" borderId="65" xfId="0" applyNumberFormat="1" applyFont="1" applyFill="1" applyBorder="1" applyAlignment="1">
      <alignment horizontal="center" vertical="center"/>
    </xf>
    <xf numFmtId="0" fontId="61" fillId="16" borderId="66" xfId="0" applyFont="1" applyFill="1" applyBorder="1" applyAlignment="1">
      <alignment horizontal="center" vertical="center" wrapText="1"/>
    </xf>
    <xf numFmtId="0" fontId="61" fillId="16" borderId="73" xfId="0" applyFont="1" applyFill="1" applyBorder="1" applyAlignment="1">
      <alignment horizontal="center" vertical="center" wrapText="1"/>
    </xf>
    <xf numFmtId="0" fontId="61" fillId="16" borderId="58" xfId="0" applyFont="1" applyFill="1" applyBorder="1" applyAlignment="1">
      <alignment horizontal="center" vertical="center" wrapText="1"/>
    </xf>
    <xf numFmtId="0" fontId="44" fillId="10" borderId="70" xfId="0" applyFont="1" applyFill="1" applyBorder="1" applyAlignment="1">
      <alignment horizontal="center" vertical="center" wrapText="1"/>
    </xf>
    <xf numFmtId="0" fontId="44" fillId="10" borderId="71" xfId="0" applyFont="1" applyFill="1" applyBorder="1" applyAlignment="1">
      <alignment horizontal="center" vertical="center" wrapText="1"/>
    </xf>
    <xf numFmtId="0" fontId="51" fillId="6" borderId="99" xfId="0" applyFont="1" applyFill="1" applyBorder="1" applyAlignment="1">
      <alignment horizontal="center" vertical="center" wrapText="1"/>
    </xf>
    <xf numFmtId="0" fontId="51" fillId="6" borderId="100" xfId="0" applyFont="1" applyFill="1" applyBorder="1" applyAlignment="1">
      <alignment horizontal="center" vertical="center" wrapText="1"/>
    </xf>
    <xf numFmtId="0" fontId="60" fillId="13" borderId="69" xfId="0" applyFont="1" applyFill="1" applyBorder="1" applyAlignment="1">
      <alignment horizontal="center" vertical="center" wrapText="1"/>
    </xf>
    <xf numFmtId="0" fontId="60" fillId="13" borderId="52" xfId="0" applyFont="1" applyFill="1" applyBorder="1" applyAlignment="1">
      <alignment horizontal="center" vertical="center" wrapText="1"/>
    </xf>
    <xf numFmtId="0" fontId="27" fillId="3" borderId="0" xfId="0" applyFont="1" applyFill="1" applyAlignment="1">
      <alignment horizontal="center" vertical="center"/>
    </xf>
    <xf numFmtId="0" fontId="50" fillId="11" borderId="0" xfId="0" applyFont="1" applyFill="1" applyAlignment="1">
      <alignment horizontal="center" vertical="center"/>
    </xf>
    <xf numFmtId="0" fontId="58" fillId="12" borderId="88" xfId="0" applyFont="1" applyFill="1" applyBorder="1" applyAlignment="1">
      <alignment horizontal="center" vertical="center" wrapText="1"/>
    </xf>
    <xf numFmtId="0" fontId="58" fillId="12" borderId="89" xfId="0" applyFont="1" applyFill="1" applyBorder="1" applyAlignment="1">
      <alignment horizontal="center" vertical="center" wrapText="1"/>
    </xf>
    <xf numFmtId="0" fontId="58" fillId="12" borderId="90" xfId="0" applyFont="1" applyFill="1" applyBorder="1" applyAlignment="1">
      <alignment horizontal="center" vertical="center" wrapText="1"/>
    </xf>
    <xf numFmtId="0" fontId="58" fillId="12" borderId="57" xfId="0" applyFont="1" applyFill="1" applyBorder="1" applyAlignment="1">
      <alignment horizontal="center" vertical="center" wrapText="1"/>
    </xf>
    <xf numFmtId="0" fontId="58" fillId="12" borderId="81" xfId="0" applyFont="1" applyFill="1" applyBorder="1" applyAlignment="1">
      <alignment horizontal="center" vertical="center" wrapText="1"/>
    </xf>
    <xf numFmtId="0" fontId="58" fillId="12" borderId="104" xfId="0" applyFont="1" applyFill="1" applyBorder="1" applyAlignment="1">
      <alignment horizontal="center" vertical="center" wrapText="1"/>
    </xf>
    <xf numFmtId="0" fontId="51" fillId="6" borderId="82" xfId="0" applyFont="1" applyFill="1" applyBorder="1" applyAlignment="1">
      <alignment horizontal="center" vertical="center" wrapText="1"/>
    </xf>
    <xf numFmtId="0" fontId="51" fillId="6" borderId="103" xfId="0" applyFont="1" applyFill="1" applyBorder="1" applyAlignment="1">
      <alignment horizontal="center" vertical="center" wrapText="1"/>
    </xf>
    <xf numFmtId="0" fontId="59" fillId="13" borderId="61" xfId="0" applyFont="1" applyFill="1" applyBorder="1" applyAlignment="1">
      <alignment horizontal="center" vertical="center" wrapText="1"/>
    </xf>
    <xf numFmtId="0" fontId="59" fillId="13" borderId="80" xfId="0" applyFont="1" applyFill="1" applyBorder="1" applyAlignment="1">
      <alignment horizontal="center" vertical="center" wrapText="1"/>
    </xf>
    <xf numFmtId="0" fontId="59" fillId="13" borderId="57" xfId="0" applyFont="1" applyFill="1" applyBorder="1" applyAlignment="1">
      <alignment horizontal="center" vertical="center" wrapText="1"/>
    </xf>
    <xf numFmtId="0" fontId="59" fillId="13" borderId="76" xfId="0" applyFont="1" applyFill="1" applyBorder="1" applyAlignment="1">
      <alignment horizontal="center" vertical="center" wrapText="1"/>
    </xf>
    <xf numFmtId="0" fontId="43" fillId="7" borderId="88" xfId="0" applyFont="1" applyFill="1" applyBorder="1" applyAlignment="1">
      <alignment horizontal="center" vertical="center" wrapText="1"/>
    </xf>
    <xf numFmtId="0" fontId="43" fillId="7" borderId="89" xfId="0" applyFont="1" applyFill="1" applyBorder="1" applyAlignment="1">
      <alignment horizontal="center" vertical="center" wrapText="1"/>
    </xf>
    <xf numFmtId="0" fontId="43" fillId="7" borderId="90" xfId="0" applyFont="1" applyFill="1" applyBorder="1" applyAlignment="1">
      <alignment horizontal="center" vertical="center" wrapText="1"/>
    </xf>
    <xf numFmtId="0" fontId="43" fillId="7" borderId="91" xfId="0" applyFont="1" applyFill="1" applyBorder="1" applyAlignment="1">
      <alignment horizontal="center" vertical="center" wrapText="1"/>
    </xf>
    <xf numFmtId="0" fontId="43" fillId="7" borderId="0" xfId="0" applyFont="1" applyFill="1" applyAlignment="1">
      <alignment horizontal="center" vertical="center" wrapText="1"/>
    </xf>
    <xf numFmtId="0" fontId="43" fillId="7" borderId="92" xfId="0" applyFont="1" applyFill="1" applyBorder="1" applyAlignment="1">
      <alignment horizontal="center" vertical="center" wrapText="1"/>
    </xf>
    <xf numFmtId="0" fontId="43" fillId="7" borderId="41" xfId="0" applyFont="1" applyFill="1" applyBorder="1" applyAlignment="1">
      <alignment horizontal="center" vertical="center" wrapText="1"/>
    </xf>
    <xf numFmtId="0" fontId="43" fillId="7" borderId="42" xfId="0" applyFont="1" applyFill="1" applyBorder="1" applyAlignment="1">
      <alignment horizontal="center" vertical="center" wrapText="1"/>
    </xf>
    <xf numFmtId="0" fontId="43" fillId="7" borderId="43" xfId="0" applyFont="1" applyFill="1" applyBorder="1" applyAlignment="1">
      <alignment horizontal="center" vertical="center" wrapText="1"/>
    </xf>
    <xf numFmtId="166" fontId="60" fillId="13" borderId="105" xfId="0" applyNumberFormat="1" applyFont="1" applyFill="1" applyBorder="1" applyAlignment="1">
      <alignment horizontal="center" vertical="center"/>
    </xf>
    <xf numFmtId="166" fontId="60" fillId="13" borderId="65" xfId="0" applyNumberFormat="1" applyFont="1" applyFill="1" applyBorder="1" applyAlignment="1">
      <alignment horizontal="center" vertical="center"/>
    </xf>
    <xf numFmtId="0" fontId="31" fillId="3" borderId="0" xfId="0" applyFont="1" applyFill="1" applyAlignment="1">
      <alignment horizontal="center" vertical="center"/>
    </xf>
    <xf numFmtId="0" fontId="54" fillId="7" borderId="0" xfId="2" applyFont="1" applyFill="1" applyAlignment="1">
      <alignment horizontal="left" vertical="center"/>
    </xf>
    <xf numFmtId="0" fontId="51" fillId="6" borderId="53" xfId="0" applyFont="1" applyFill="1" applyBorder="1" applyAlignment="1">
      <alignment horizontal="center" vertical="center" wrapText="1"/>
    </xf>
    <xf numFmtId="0" fontId="51" fillId="6" borderId="102" xfId="0" applyFont="1" applyFill="1" applyBorder="1" applyAlignment="1">
      <alignment horizontal="center" vertical="center" wrapText="1"/>
    </xf>
    <xf numFmtId="0" fontId="88" fillId="22" borderId="0" xfId="0" applyFont="1" applyFill="1" applyAlignment="1">
      <alignment horizontal="center" vertical="center" wrapText="1"/>
    </xf>
    <xf numFmtId="0" fontId="55" fillId="2" borderId="7" xfId="0" applyFont="1" applyFill="1" applyBorder="1" applyAlignment="1">
      <alignment horizontal="center" vertical="center" wrapText="1"/>
    </xf>
    <xf numFmtId="0" fontId="55" fillId="2" borderId="0" xfId="0" applyFont="1" applyFill="1" applyAlignment="1">
      <alignment horizontal="center" vertical="center" wrapText="1"/>
    </xf>
    <xf numFmtId="0" fontId="4" fillId="11" borderId="7" xfId="0" applyFont="1" applyFill="1" applyBorder="1" applyAlignment="1" applyProtection="1">
      <alignment horizontal="center" vertical="center"/>
      <protection locked="0"/>
    </xf>
    <xf numFmtId="0" fontId="4" fillId="11" borderId="0" xfId="0" applyFont="1" applyFill="1" applyAlignment="1" applyProtection="1">
      <alignment horizontal="center" vertical="center"/>
      <protection locked="0"/>
    </xf>
  </cellXfs>
  <cellStyles count="6">
    <cellStyle name="DTCellStyle" xfId="4" xr:uid="{5BA01ABB-620E-4ACF-95CF-F829E9B67880}"/>
    <cellStyle name="Hyperlink" xfId="2" builtinId="8"/>
    <cellStyle name="Normal" xfId="0" builtinId="0"/>
    <cellStyle name="Normal 2" xfId="1" xr:uid="{00000000-0005-0000-0000-000001000000}"/>
    <cellStyle name="Normal 3" xfId="3" xr:uid="{6555DB89-2EAC-4CC3-84E8-C9E2CED00E8A}"/>
    <cellStyle name="Normal 3 2" xfId="5" xr:uid="{5010E550-7B6C-4335-AB5C-0403C1E6EEBF}"/>
  </cellStyles>
  <dxfs count="62">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0"/>
      </font>
      <fill>
        <patternFill>
          <bgColor theme="0"/>
        </patternFill>
      </fill>
      <border>
        <left/>
        <right/>
        <top/>
        <bottom/>
      </border>
    </dxf>
    <dxf>
      <font>
        <color theme="0" tint="-0.499984740745262"/>
      </font>
      <fill>
        <patternFill>
          <bgColor theme="0" tint="-0.499984740745262"/>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fgColor theme="1" tint="0.34998626667073579"/>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1" tint="0.34998626667073579"/>
      </font>
      <fill>
        <patternFill patternType="solid">
          <bgColor theme="1" tint="0.34998626667073579"/>
        </patternFill>
      </fill>
    </dxf>
    <dxf>
      <font>
        <color theme="3" tint="0.79998168889431442"/>
      </font>
    </dxf>
    <dxf>
      <font>
        <color theme="0" tint="-0.499984740745262"/>
      </font>
      <fill>
        <patternFill>
          <bgColor theme="0" tint="-0.499984740745262"/>
        </patternFill>
      </fill>
    </dxf>
    <dxf>
      <font>
        <color theme="3" tint="0.79998168889431442"/>
      </font>
      <fill>
        <patternFill>
          <bgColor theme="3" tint="0.79998168889431442"/>
        </patternFill>
      </fill>
      <border>
        <left/>
        <right/>
        <top/>
        <bottom style="thin">
          <color auto="1"/>
        </bottom>
        <vertical/>
        <horizontal/>
      </border>
    </dxf>
    <dxf>
      <font>
        <color theme="3" tint="0.79998168889431442"/>
      </font>
      <fill>
        <patternFill>
          <bgColor theme="3" tint="0.79998168889431442"/>
        </patternFill>
      </fill>
      <border>
        <left/>
        <right/>
        <top/>
        <bottom/>
        <vertical/>
        <horizontal/>
      </border>
    </dxf>
    <dxf>
      <font>
        <color theme="3" tint="0.79998168889431442"/>
      </font>
      <fill>
        <patternFill>
          <bgColor theme="3" tint="0.79998168889431442"/>
        </patternFill>
      </fill>
      <border>
        <left/>
        <right/>
        <top/>
        <bottom/>
        <vertical/>
        <horizontal/>
      </border>
    </dxf>
    <dxf>
      <font>
        <color theme="5" tint="0.79998168889431442"/>
      </font>
      <fill>
        <patternFill>
          <bgColor theme="5" tint="0.79998168889431442"/>
        </patternFill>
      </fill>
      <border>
        <left/>
        <right/>
        <top style="thin">
          <color auto="1"/>
        </top>
        <bottom/>
        <vertical/>
        <horizontal/>
      </border>
    </dxf>
    <dxf>
      <font>
        <color theme="3" tint="0.79998168889431442"/>
      </font>
      <fill>
        <patternFill>
          <bgColor theme="3" tint="0.79998168889431442"/>
        </patternFill>
      </fill>
      <border>
        <left/>
        <right/>
        <top/>
        <bottom/>
      </border>
    </dxf>
    <dxf>
      <font>
        <color theme="7" tint="-0.499984740745262"/>
      </font>
      <fill>
        <patternFill>
          <bgColor theme="7" tint="0.79998168889431442"/>
        </patternFill>
      </fill>
      <border>
        <left style="hair">
          <color auto="1"/>
        </left>
        <right style="hair">
          <color auto="1"/>
        </right>
        <top style="hair">
          <color auto="1"/>
        </top>
        <bottom style="hair">
          <color auto="1"/>
        </bottom>
        <vertical/>
        <horizontal/>
      </border>
    </dxf>
    <dxf>
      <font>
        <color theme="9" tint="-0.499984740745262"/>
      </font>
      <fill>
        <patternFill>
          <bgColor theme="9" tint="0.59996337778862885"/>
        </patternFill>
      </fill>
    </dxf>
    <dxf>
      <font>
        <color rgb="FFC00000"/>
      </font>
      <fill>
        <patternFill>
          <bgColor rgb="FFFFB3B3"/>
        </patternFill>
      </fill>
      <border>
        <left style="hair">
          <color auto="1"/>
        </left>
        <right style="hair">
          <color auto="1"/>
        </right>
        <top style="hair">
          <color auto="1"/>
        </top>
        <bottom style="hair">
          <color auto="1"/>
        </bottom>
      </border>
    </dxf>
    <dxf>
      <font>
        <color theme="9" tint="-0.499984740745262"/>
      </font>
      <fill>
        <patternFill>
          <bgColor theme="9" tint="0.59996337778862885"/>
        </patternFill>
      </fill>
      <border>
        <left style="hair">
          <color auto="1"/>
        </left>
        <right style="hair">
          <color auto="1"/>
        </right>
        <top style="hair">
          <color auto="1"/>
        </top>
        <bottom style="hair">
          <color auto="1"/>
        </bottom>
      </border>
    </dxf>
    <dxf>
      <font>
        <color auto="1"/>
      </font>
    </dxf>
    <dxf>
      <font>
        <color theme="7" tint="-0.499984740745262"/>
      </font>
      <fill>
        <patternFill>
          <bgColor theme="7" tint="0.79998168889431442"/>
        </patternFill>
      </fill>
      <border>
        <left style="hair">
          <color auto="1"/>
        </left>
        <right style="hair">
          <color auto="1"/>
        </right>
        <top style="hair">
          <color auto="1"/>
        </top>
        <bottom style="hair">
          <color auto="1"/>
        </bottom>
        <vertical/>
        <horizontal/>
      </border>
    </dxf>
    <dxf>
      <font>
        <color theme="9" tint="-0.499984740745262"/>
      </font>
      <fill>
        <patternFill>
          <bgColor theme="9" tint="0.59996337778862885"/>
        </patternFill>
      </fill>
    </dxf>
    <dxf>
      <font>
        <color rgb="FFC00000"/>
      </font>
      <fill>
        <patternFill>
          <bgColor rgb="FFFFABAB"/>
        </patternFill>
      </fill>
    </dxf>
    <dxf>
      <font>
        <color rgb="FFC00000"/>
      </font>
      <fill>
        <patternFill>
          <bgColor rgb="FFFFB3B3"/>
        </patternFill>
      </fill>
    </dxf>
    <dxf>
      <font>
        <color theme="2"/>
      </font>
    </dxf>
    <dxf>
      <font>
        <color theme="0"/>
      </font>
      <fill>
        <patternFill>
          <bgColor theme="0"/>
        </patternFill>
      </fill>
      <border>
        <left/>
        <right/>
        <top style="hair">
          <color auto="1"/>
        </top>
        <bottom/>
        <vertical/>
        <horizontal/>
      </border>
    </dxf>
    <dxf>
      <font>
        <color theme="7" tint="-0.499984740745262"/>
      </font>
      <fill>
        <patternFill>
          <bgColor theme="7" tint="0.79998168889431442"/>
        </patternFill>
      </fill>
      <border>
        <left style="hair">
          <color auto="1"/>
        </left>
        <right style="hair">
          <color auto="1"/>
        </right>
        <top style="hair">
          <color auto="1"/>
        </top>
        <bottom style="hair">
          <color auto="1"/>
        </bottom>
        <vertical/>
        <horizontal/>
      </border>
    </dxf>
    <dxf>
      <font>
        <color theme="9" tint="-0.499984740745262"/>
      </font>
      <fill>
        <patternFill>
          <bgColor theme="9" tint="0.59996337778862885"/>
        </patternFill>
      </fill>
    </dxf>
    <dxf>
      <font>
        <color rgb="FFC00000"/>
      </font>
      <fill>
        <patternFill>
          <bgColor rgb="FFFFABAB"/>
        </patternFill>
      </fill>
    </dxf>
    <dxf>
      <font>
        <color rgb="FFC00000"/>
      </font>
      <fill>
        <patternFill>
          <bgColor rgb="FFFFB3B3"/>
        </patternFill>
      </fill>
    </dxf>
    <dxf>
      <font>
        <color theme="2"/>
      </font>
    </dxf>
    <dxf>
      <font>
        <b val="0"/>
        <i val="0"/>
        <strike val="0"/>
        <condense val="0"/>
        <extend val="0"/>
        <outline val="0"/>
        <shadow val="0"/>
        <u val="none"/>
        <vertAlign val="baseline"/>
        <sz val="11"/>
        <color rgb="FFC00000"/>
        <name val="Arial"/>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rgb="FFC00000"/>
        <name val="Arial"/>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rgb="FFC00000"/>
        <name val="Arial"/>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Arial"/>
        <scheme val="none"/>
      </font>
      <numFmt numFmtId="164" formatCode="dd/mm/yyyy;@"/>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center" vertical="top"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center" vertical="top" textRotation="0" wrapText="0" indent="0" justifyLastLine="0" shrinkToFit="0" readingOrder="0"/>
    </dxf>
  </dxfs>
  <tableStyles count="0" defaultTableStyle="TableStyleMedium2" defaultPivotStyle="PivotStyleLight16"/>
  <colors>
    <mruColors>
      <color rgb="FFFA8072"/>
      <color rgb="FF5F9EA0"/>
      <color rgb="FFB0C4DE"/>
      <color rgb="FF708090"/>
      <color rgb="FFF3E1FF"/>
      <color rgb="FFC673FF"/>
      <color rgb="FFAE37FF"/>
      <color rgb="FFFF6600"/>
      <color rgb="FF111565"/>
      <color rgb="FFFF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F$43" lockText="1" noThreeD="1"/>
</file>

<file path=xl/drawings/_rels/drawing1.xml.rels><?xml version="1.0" encoding="UTF-8" standalone="yes"?>
<Relationships xmlns="http://schemas.openxmlformats.org/package/2006/relationships"><Relationship Id="rId8" Type="http://schemas.openxmlformats.org/officeDocument/2006/relationships/hyperlink" Target="#'DD Calculator (Morocco)'!A1"/><Relationship Id="rId3" Type="http://schemas.openxmlformats.org/officeDocument/2006/relationships/hyperlink" Target="#'DD Calculator Europe'!A1"/><Relationship Id="rId7" Type="http://schemas.openxmlformats.org/officeDocument/2006/relationships/hyperlink" Target="#'DD Calculator(Iberia)'!A1"/><Relationship Id="rId2" Type="http://schemas.openxmlformats.org/officeDocument/2006/relationships/image" Target="../media/image1.png"/><Relationship Id="rId1" Type="http://schemas.openxmlformats.org/officeDocument/2006/relationships/hyperlink" Target="https://www.hapag-lloyd.com/en/home.html" TargetMode="External"/><Relationship Id="rId6" Type="http://schemas.openxmlformats.org/officeDocument/2006/relationships/hyperlink" Target="#'DD Calculator Italy-West Hemis.'!A1"/><Relationship Id="rId5" Type="http://schemas.openxmlformats.org/officeDocument/2006/relationships/hyperlink" Target="#'DD Calculator Italy-East Hemis.'!A1"/><Relationship Id="rId4"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76200</xdr:colOff>
      <xdr:row>4</xdr:row>
      <xdr:rowOff>0</xdr:rowOff>
    </xdr:from>
    <xdr:to>
      <xdr:col>10</xdr:col>
      <xdr:colOff>1114425</xdr:colOff>
      <xdr:row>4</xdr:row>
      <xdr:rowOff>0</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371475" y="752475"/>
          <a:ext cx="972502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9</xdr:row>
      <xdr:rowOff>31750</xdr:rowOff>
    </xdr:from>
    <xdr:to>
      <xdr:col>6</xdr:col>
      <xdr:colOff>0</xdr:colOff>
      <xdr:row>39</xdr:row>
      <xdr:rowOff>38100</xdr:rowOff>
    </xdr:to>
    <xdr:cxnSp macro="">
      <xdr:nvCxnSpPr>
        <xdr:cNvPr id="6" name="Straight Connector 5">
          <a:extLst>
            <a:ext uri="{FF2B5EF4-FFF2-40B4-BE49-F238E27FC236}">
              <a16:creationId xmlns:a16="http://schemas.microsoft.com/office/drawing/2014/main" id="{00000000-0008-0000-0000-000006000000}"/>
            </a:ext>
          </a:extLst>
        </xdr:cNvPr>
        <xdr:cNvCxnSpPr/>
      </xdr:nvCxnSpPr>
      <xdr:spPr>
        <a:xfrm>
          <a:off x="5397500" y="1746250"/>
          <a:ext cx="0" cy="54250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701922</xdr:colOff>
      <xdr:row>1</xdr:row>
      <xdr:rowOff>73096</xdr:rowOff>
    </xdr:from>
    <xdr:to>
      <xdr:col>11</xdr:col>
      <xdr:colOff>52918</xdr:colOff>
      <xdr:row>3</xdr:row>
      <xdr:rowOff>15591</xdr:rowOff>
    </xdr:to>
    <xdr:pic>
      <xdr:nvPicPr>
        <xdr:cNvPr id="11" name="Picture 10">
          <a:hlinkClick xmlns:r="http://schemas.openxmlformats.org/officeDocument/2006/relationships" r:id="rId1"/>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99255" y="253013"/>
          <a:ext cx="1636996" cy="33407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4</xdr:col>
          <xdr:colOff>866775</xdr:colOff>
          <xdr:row>41</xdr:row>
          <xdr:rowOff>28575</xdr:rowOff>
        </xdr:from>
        <xdr:to>
          <xdr:col>7</xdr:col>
          <xdr:colOff>685800</xdr:colOff>
          <xdr:row>44</xdr:row>
          <xdr:rowOff>152400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0">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 understand and wish to proceed.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35719</xdr:colOff>
          <xdr:row>45</xdr:row>
          <xdr:rowOff>32307</xdr:rowOff>
        </xdr:from>
        <xdr:to>
          <xdr:col>3</xdr:col>
          <xdr:colOff>190500</xdr:colOff>
          <xdr:row>48</xdr:row>
          <xdr:rowOff>145256</xdr:rowOff>
        </xdr:to>
        <xdr:pic>
          <xdr:nvPicPr>
            <xdr:cNvPr id="14" name="Picture 13">
              <a:hlinkClick xmlns:r="http://schemas.openxmlformats.org/officeDocument/2006/relationships" r:id="rId3"/>
              <a:extLst>
                <a:ext uri="{FF2B5EF4-FFF2-40B4-BE49-F238E27FC236}">
                  <a16:creationId xmlns:a16="http://schemas.microsoft.com/office/drawing/2014/main" id="{00000000-0008-0000-0000-00000E000000}"/>
                </a:ext>
              </a:extLst>
            </xdr:cNvPr>
            <xdr:cNvPicPr>
              <a:picLocks noChangeAspect="1" noChangeArrowheads="1"/>
              <a:extLst>
                <a:ext uri="{84589F7E-364E-4C9E-8A38-B11213B215E9}">
                  <a14:cameraTool cellRange="PictureEUR" spid="_x0000_s40249"/>
                </a:ext>
              </a:extLst>
            </xdr:cNvPicPr>
          </xdr:nvPicPr>
          <xdr:blipFill>
            <a:blip xmlns:r="http://schemas.openxmlformats.org/officeDocument/2006/relationships" r:embed="rId4"/>
            <a:srcRect/>
            <a:stretch>
              <a:fillRect/>
            </a:stretch>
          </xdr:blipFill>
          <xdr:spPr bwMode="auto">
            <a:xfrm>
              <a:off x="250032" y="8521463"/>
              <a:ext cx="2440781" cy="791605"/>
            </a:xfrm>
            <a:prstGeom prst="rect">
              <a:avLst/>
            </a:prstGeom>
            <a:noFill/>
          </xdr:spPr>
        </xdr:pic>
        <xdr:clientData/>
      </xdr:twoCellAnchor>
    </mc:Choice>
    <mc:Fallback/>
  </mc:AlternateContent>
  <xdr:twoCellAnchor>
    <xdr:from>
      <xdr:col>7</xdr:col>
      <xdr:colOff>678656</xdr:colOff>
      <xdr:row>11</xdr:row>
      <xdr:rowOff>0</xdr:rowOff>
    </xdr:from>
    <xdr:to>
      <xdr:col>10</xdr:col>
      <xdr:colOff>452438</xdr:colOff>
      <xdr:row>11</xdr:row>
      <xdr:rowOff>0</xdr:rowOff>
    </xdr:to>
    <xdr:cxnSp macro="">
      <xdr:nvCxnSpPr>
        <xdr:cNvPr id="7" name="Straight Connector 6">
          <a:extLst>
            <a:ext uri="{FF2B5EF4-FFF2-40B4-BE49-F238E27FC236}">
              <a16:creationId xmlns:a16="http://schemas.microsoft.com/office/drawing/2014/main" id="{00000000-0008-0000-0000-000007000000}"/>
            </a:ext>
          </a:extLst>
        </xdr:cNvPr>
        <xdr:cNvCxnSpPr/>
      </xdr:nvCxnSpPr>
      <xdr:spPr>
        <a:xfrm>
          <a:off x="6679406" y="2095500"/>
          <a:ext cx="3202782" cy="0"/>
        </a:xfrm>
        <a:prstGeom prst="line">
          <a:avLst/>
        </a:prstGeom>
        <a:ln w="3175">
          <a:solidFill>
            <a:schemeClr val="bg2"/>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678656</xdr:colOff>
      <xdr:row>24</xdr:row>
      <xdr:rowOff>0</xdr:rowOff>
    </xdr:from>
    <xdr:to>
      <xdr:col>10</xdr:col>
      <xdr:colOff>452438</xdr:colOff>
      <xdr:row>24</xdr:row>
      <xdr:rowOff>0</xdr:rowOff>
    </xdr:to>
    <xdr:cxnSp macro="">
      <xdr:nvCxnSpPr>
        <xdr:cNvPr id="13" name="Straight Connector 12">
          <a:extLst>
            <a:ext uri="{FF2B5EF4-FFF2-40B4-BE49-F238E27FC236}">
              <a16:creationId xmlns:a16="http://schemas.microsoft.com/office/drawing/2014/main" id="{00000000-0008-0000-0000-00000D000000}"/>
            </a:ext>
          </a:extLst>
        </xdr:cNvPr>
        <xdr:cNvCxnSpPr/>
      </xdr:nvCxnSpPr>
      <xdr:spPr>
        <a:xfrm>
          <a:off x="6679406" y="4524375"/>
          <a:ext cx="3202782" cy="0"/>
        </a:xfrm>
        <a:prstGeom prst="line">
          <a:avLst/>
        </a:prstGeom>
        <a:ln w="3175">
          <a:solidFill>
            <a:schemeClr val="bg2"/>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604044</xdr:colOff>
          <xdr:row>45</xdr:row>
          <xdr:rowOff>32307</xdr:rowOff>
        </xdr:from>
        <xdr:to>
          <xdr:col>6</xdr:col>
          <xdr:colOff>151607</xdr:colOff>
          <xdr:row>48</xdr:row>
          <xdr:rowOff>145256</xdr:rowOff>
        </xdr:to>
        <xdr:pic>
          <xdr:nvPicPr>
            <xdr:cNvPr id="2" name="Picture 1">
              <a:hlinkClick xmlns:r="http://schemas.openxmlformats.org/officeDocument/2006/relationships" r:id="rId5"/>
              <a:extLst>
                <a:ext uri="{FF2B5EF4-FFF2-40B4-BE49-F238E27FC236}">
                  <a16:creationId xmlns:a16="http://schemas.microsoft.com/office/drawing/2014/main" id="{00000000-0008-0000-0000-000002000000}"/>
                </a:ext>
              </a:extLst>
            </xdr:cNvPr>
            <xdr:cNvPicPr>
              <a:picLocks noChangeAspect="1" noChangeArrowheads="1"/>
              <a:extLst>
                <a:ext uri="{84589F7E-364E-4C9E-8A38-B11213B215E9}">
                  <a14:cameraTool cellRange="PictureITAe" spid="_x0000_s40250"/>
                </a:ext>
              </a:extLst>
            </xdr:cNvPicPr>
          </xdr:nvPicPr>
          <xdr:blipFill>
            <a:blip xmlns:r="http://schemas.openxmlformats.org/officeDocument/2006/relationships" r:embed="rId4"/>
            <a:srcRect/>
            <a:stretch>
              <a:fillRect/>
            </a:stretch>
          </xdr:blipFill>
          <xdr:spPr bwMode="auto">
            <a:xfrm>
              <a:off x="3104357" y="8521463"/>
              <a:ext cx="2440781" cy="791605"/>
            </a:xfrm>
            <a:prstGeom prst="rect">
              <a:avLst/>
            </a:prstGeom>
            <a:no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565151</xdr:colOff>
          <xdr:row>45</xdr:row>
          <xdr:rowOff>32307</xdr:rowOff>
        </xdr:from>
        <xdr:to>
          <xdr:col>9</xdr:col>
          <xdr:colOff>112713</xdr:colOff>
          <xdr:row>48</xdr:row>
          <xdr:rowOff>145256</xdr:rowOff>
        </xdr:to>
        <xdr:pic>
          <xdr:nvPicPr>
            <xdr:cNvPr id="4" name="Picture 3">
              <a:hlinkClick xmlns:r="http://schemas.openxmlformats.org/officeDocument/2006/relationships" r:id="rId6"/>
              <a:extLst>
                <a:ext uri="{FF2B5EF4-FFF2-40B4-BE49-F238E27FC236}">
                  <a16:creationId xmlns:a16="http://schemas.microsoft.com/office/drawing/2014/main" id="{00000000-0008-0000-0000-000004000000}"/>
                </a:ext>
              </a:extLst>
            </xdr:cNvPr>
            <xdr:cNvPicPr>
              <a:picLocks noChangeAspect="1" noChangeArrowheads="1"/>
              <a:extLst>
                <a:ext uri="{84589F7E-364E-4C9E-8A38-B11213B215E9}">
                  <a14:cameraTool cellRange="PictureITAw" spid="_x0000_s40251"/>
                </a:ext>
              </a:extLst>
            </xdr:cNvPicPr>
          </xdr:nvPicPr>
          <xdr:blipFill>
            <a:blip xmlns:r="http://schemas.openxmlformats.org/officeDocument/2006/relationships" r:embed="rId4"/>
            <a:srcRect/>
            <a:stretch>
              <a:fillRect/>
            </a:stretch>
          </xdr:blipFill>
          <xdr:spPr bwMode="auto">
            <a:xfrm>
              <a:off x="5958682" y="8509557"/>
              <a:ext cx="2440781" cy="791605"/>
            </a:xfrm>
            <a:prstGeom prst="rect">
              <a:avLst/>
            </a:prstGeom>
            <a:no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526257</xdr:colOff>
          <xdr:row>45</xdr:row>
          <xdr:rowOff>32307</xdr:rowOff>
        </xdr:from>
        <xdr:to>
          <xdr:col>12</xdr:col>
          <xdr:colOff>466725</xdr:colOff>
          <xdr:row>48</xdr:row>
          <xdr:rowOff>145256</xdr:rowOff>
        </xdr:to>
        <xdr:pic>
          <xdr:nvPicPr>
            <xdr:cNvPr id="5" name="Picture 4">
              <a:hlinkClick xmlns:r="http://schemas.openxmlformats.org/officeDocument/2006/relationships" r:id="rId7"/>
              <a:extLst>
                <a:ext uri="{FF2B5EF4-FFF2-40B4-BE49-F238E27FC236}">
                  <a16:creationId xmlns:a16="http://schemas.microsoft.com/office/drawing/2014/main" id="{00000000-0008-0000-0000-000005000000}"/>
                </a:ext>
              </a:extLst>
            </xdr:cNvPr>
            <xdr:cNvPicPr>
              <a:picLocks noChangeAspect="1" noChangeArrowheads="1"/>
              <a:extLst>
                <a:ext uri="{84589F7E-364E-4C9E-8A38-B11213B215E9}">
                  <a14:cameraTool cellRange="PictureIBE" spid="_x0000_s40252"/>
                </a:ext>
              </a:extLst>
            </xdr:cNvPicPr>
          </xdr:nvPicPr>
          <xdr:blipFill>
            <a:blip xmlns:r="http://schemas.openxmlformats.org/officeDocument/2006/relationships" r:embed="rId4"/>
            <a:srcRect/>
            <a:stretch>
              <a:fillRect/>
            </a:stretch>
          </xdr:blipFill>
          <xdr:spPr bwMode="auto">
            <a:xfrm>
              <a:off x="8813007" y="8521463"/>
              <a:ext cx="2440781" cy="791605"/>
            </a:xfrm>
            <a:prstGeom prst="rect">
              <a:avLst/>
            </a:prstGeom>
            <a:no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604044</xdr:colOff>
          <xdr:row>49</xdr:row>
          <xdr:rowOff>44213</xdr:rowOff>
        </xdr:from>
        <xdr:to>
          <xdr:col>6</xdr:col>
          <xdr:colOff>151607</xdr:colOff>
          <xdr:row>53</xdr:row>
          <xdr:rowOff>121443</xdr:rowOff>
        </xdr:to>
        <xdr:pic>
          <xdr:nvPicPr>
            <xdr:cNvPr id="17" name="Picture 16">
              <a:hlinkClick xmlns:r="http://schemas.openxmlformats.org/officeDocument/2006/relationships" r:id="rId8"/>
              <a:extLst>
                <a:ext uri="{FF2B5EF4-FFF2-40B4-BE49-F238E27FC236}">
                  <a16:creationId xmlns:a16="http://schemas.microsoft.com/office/drawing/2014/main" id="{00000000-0008-0000-0000-000011000000}"/>
                </a:ext>
              </a:extLst>
            </xdr:cNvPr>
            <xdr:cNvPicPr>
              <a:picLocks noChangeAspect="1" noChangeArrowheads="1"/>
              <a:extLst>
                <a:ext uri="{84589F7E-364E-4C9E-8A38-B11213B215E9}">
                  <a14:cameraTool cellRange="PictureMor" spid="_x0000_s40253"/>
                </a:ext>
              </a:extLst>
            </xdr:cNvPicPr>
          </xdr:nvPicPr>
          <xdr:blipFill>
            <a:blip xmlns:r="http://schemas.openxmlformats.org/officeDocument/2006/relationships" r:embed="rId4"/>
            <a:srcRect/>
            <a:stretch>
              <a:fillRect/>
            </a:stretch>
          </xdr:blipFill>
          <xdr:spPr bwMode="auto">
            <a:xfrm>
              <a:off x="3104357" y="9426338"/>
              <a:ext cx="2440781" cy="791605"/>
            </a:xfrm>
            <a:prstGeom prst="rect">
              <a:avLst/>
            </a:prstGeom>
            <a:no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565151</xdr:colOff>
          <xdr:row>49</xdr:row>
          <xdr:rowOff>44213</xdr:rowOff>
        </xdr:from>
        <xdr:to>
          <xdr:col>9</xdr:col>
          <xdr:colOff>112713</xdr:colOff>
          <xdr:row>53</xdr:row>
          <xdr:rowOff>121443</xdr:rowOff>
        </xdr:to>
        <xdr:pic>
          <xdr:nvPicPr>
            <xdr:cNvPr id="34" name="Picture 33">
              <a:extLst>
                <a:ext uri="{FF2B5EF4-FFF2-40B4-BE49-F238E27FC236}">
                  <a16:creationId xmlns:a16="http://schemas.microsoft.com/office/drawing/2014/main" id="{00000000-0008-0000-0000-000022000000}"/>
                </a:ext>
              </a:extLst>
            </xdr:cNvPr>
            <xdr:cNvPicPr>
              <a:picLocks noChangeAspect="1" noChangeArrowheads="1"/>
              <a:extLst>
                <a:ext uri="{84589F7E-364E-4C9E-8A38-B11213B215E9}">
                  <a14:cameraTool cellRange="PictureSEG" spid="_x0000_s40254"/>
                </a:ext>
              </a:extLst>
            </xdr:cNvPicPr>
          </xdr:nvPicPr>
          <xdr:blipFill>
            <a:blip xmlns:r="http://schemas.openxmlformats.org/officeDocument/2006/relationships" r:embed="rId4"/>
            <a:srcRect/>
            <a:stretch>
              <a:fillRect/>
            </a:stretch>
          </xdr:blipFill>
          <xdr:spPr bwMode="auto">
            <a:xfrm>
              <a:off x="5958682" y="9426338"/>
              <a:ext cx="2440781" cy="791605"/>
            </a:xfrm>
            <a:prstGeom prst="rect">
              <a:avLst/>
            </a:prstGeom>
            <a:noFill/>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absolute">
    <xdr:from>
      <xdr:col>0</xdr:col>
      <xdr:colOff>1</xdr:colOff>
      <xdr:row>0</xdr:row>
      <xdr:rowOff>22858</xdr:rowOff>
    </xdr:from>
    <xdr:to>
      <xdr:col>0</xdr:col>
      <xdr:colOff>2419350</xdr:colOff>
      <xdr:row>3</xdr:row>
      <xdr:rowOff>80007</xdr:rowOff>
    </xdr:to>
    <xdr:grpSp>
      <xdr:nvGrpSpPr>
        <xdr:cNvPr id="11" name="Group 10">
          <a:extLst>
            <a:ext uri="{FF2B5EF4-FFF2-40B4-BE49-F238E27FC236}">
              <a16:creationId xmlns:a16="http://schemas.microsoft.com/office/drawing/2014/main" id="{00000000-0008-0000-0100-00000B000000}"/>
            </a:ext>
          </a:extLst>
        </xdr:cNvPr>
        <xdr:cNvGrpSpPr/>
      </xdr:nvGrpSpPr>
      <xdr:grpSpPr>
        <a:xfrm>
          <a:off x="1" y="22858"/>
          <a:ext cx="2419349" cy="714374"/>
          <a:chOff x="5562601" y="1951482"/>
          <a:chExt cx="2419349" cy="714374"/>
        </a:xfrm>
      </xdr:grpSpPr>
      <xdr:sp macro="" textlink="">
        <xdr:nvSpPr>
          <xdr:cNvPr id="9" name="Rectangle 8">
            <a:extLst>
              <a:ext uri="{FF2B5EF4-FFF2-40B4-BE49-F238E27FC236}">
                <a16:creationId xmlns:a16="http://schemas.microsoft.com/office/drawing/2014/main" id="{00000000-0008-0000-0100-000009000000}"/>
              </a:ext>
            </a:extLst>
          </xdr:cNvPr>
          <xdr:cNvSpPr>
            <a:spLocks noChangeAspect="1"/>
          </xdr:cNvSpPr>
        </xdr:nvSpPr>
        <xdr:spPr>
          <a:xfrm>
            <a:off x="6118014" y="1951482"/>
            <a:ext cx="1863936" cy="714374"/>
          </a:xfrm>
          <a:prstGeom prst="rect">
            <a:avLst/>
          </a:prstGeom>
          <a:solidFill>
            <a:srgbClr val="FF660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overflow" horzOverflow="overflow" lIns="0" tIns="0" rIns="0" bIns="0" rtlCol="0" anchor="ctr"/>
          <a:lstStyle/>
          <a:p>
            <a:pPr algn="ctr"/>
            <a:r>
              <a:rPr lang="en-US" sz="1600">
                <a:ln>
                  <a:solidFill>
                    <a:schemeClr val="bg1"/>
                  </a:solidFill>
                </a:ln>
                <a:solidFill>
                  <a:schemeClr val="bg1"/>
                </a:solidFill>
              </a:rPr>
              <a:t>D&amp;D</a:t>
            </a:r>
            <a:r>
              <a:rPr lang="en-US" sz="1600" baseline="0">
                <a:ln>
                  <a:solidFill>
                    <a:schemeClr val="bg1"/>
                  </a:solidFill>
                </a:ln>
                <a:solidFill>
                  <a:schemeClr val="bg1"/>
                </a:solidFill>
              </a:rPr>
              <a:t> Calculator</a:t>
            </a:r>
            <a:br>
              <a:rPr lang="en-US" sz="1600" baseline="0">
                <a:ln>
                  <a:solidFill>
                    <a:schemeClr val="bg1"/>
                  </a:solidFill>
                </a:ln>
                <a:solidFill>
                  <a:schemeClr val="bg1"/>
                </a:solidFill>
              </a:rPr>
            </a:br>
            <a:r>
              <a:rPr lang="en-US" sz="1600" baseline="0">
                <a:ln>
                  <a:solidFill>
                    <a:schemeClr val="bg1"/>
                  </a:solidFill>
                </a:ln>
                <a:solidFill>
                  <a:schemeClr val="bg1"/>
                </a:solidFill>
              </a:rPr>
              <a:t>South-Europe</a:t>
            </a:r>
            <a:endParaRPr lang="en-US" sz="1600">
              <a:ln>
                <a:solidFill>
                  <a:schemeClr val="bg1"/>
                </a:solidFill>
              </a:ln>
              <a:solidFill>
                <a:schemeClr val="bg1"/>
              </a:solidFill>
            </a:endParaRPr>
          </a:p>
        </xdr:txBody>
      </xdr:sp>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5562601" y="1951482"/>
            <a:ext cx="555414" cy="713231"/>
          </a:xfrm>
          <a:prstGeom prst="rect">
            <a:avLst/>
          </a:prstGeom>
          <a:ln>
            <a:noFill/>
          </a:ln>
        </xdr:spPr>
      </xdr:pic>
    </xdr:grpSp>
    <xdr:clientData/>
  </xdr:twoCellAnchor>
  <xdr:twoCellAnchor editAs="absolute">
    <xdr:from>
      <xdr:col>1</xdr:col>
      <xdr:colOff>609599</xdr:colOff>
      <xdr:row>0</xdr:row>
      <xdr:rowOff>22858</xdr:rowOff>
    </xdr:from>
    <xdr:to>
      <xdr:col>2</xdr:col>
      <xdr:colOff>2505074</xdr:colOff>
      <xdr:row>3</xdr:row>
      <xdr:rowOff>80007</xdr:rowOff>
    </xdr:to>
    <xdr:grpSp>
      <xdr:nvGrpSpPr>
        <xdr:cNvPr id="12" name="Group 11">
          <a:extLst>
            <a:ext uri="{FF2B5EF4-FFF2-40B4-BE49-F238E27FC236}">
              <a16:creationId xmlns:a16="http://schemas.microsoft.com/office/drawing/2014/main" id="{00000000-0008-0000-0100-00000C000000}"/>
            </a:ext>
          </a:extLst>
        </xdr:cNvPr>
        <xdr:cNvGrpSpPr/>
      </xdr:nvGrpSpPr>
      <xdr:grpSpPr>
        <a:xfrm>
          <a:off x="3114674" y="22858"/>
          <a:ext cx="2505075" cy="714374"/>
          <a:chOff x="5562600" y="1951482"/>
          <a:chExt cx="2419350" cy="714374"/>
        </a:xfrm>
      </xdr:grpSpPr>
      <xdr:sp macro="" textlink="">
        <xdr:nvSpPr>
          <xdr:cNvPr id="13" name="Rectangle 12">
            <a:extLst>
              <a:ext uri="{FF2B5EF4-FFF2-40B4-BE49-F238E27FC236}">
                <a16:creationId xmlns:a16="http://schemas.microsoft.com/office/drawing/2014/main" id="{00000000-0008-0000-0100-00000D000000}"/>
              </a:ext>
            </a:extLst>
          </xdr:cNvPr>
          <xdr:cNvSpPr>
            <a:spLocks noChangeAspect="1"/>
          </xdr:cNvSpPr>
        </xdr:nvSpPr>
        <xdr:spPr>
          <a:xfrm>
            <a:off x="6118014" y="1951482"/>
            <a:ext cx="1863936" cy="714374"/>
          </a:xfrm>
          <a:prstGeom prst="rect">
            <a:avLst/>
          </a:prstGeom>
          <a:solidFill>
            <a:srgbClr val="FF660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overflow" horzOverflow="overflow" lIns="0" tIns="0" rIns="0" bIns="0" rtlCol="0" anchor="ctr"/>
          <a:lstStyle/>
          <a:p>
            <a:pPr algn="ctr"/>
            <a:r>
              <a:rPr lang="en-US" sz="1600">
                <a:ln>
                  <a:solidFill>
                    <a:schemeClr val="bg1"/>
                  </a:solidFill>
                </a:ln>
                <a:solidFill>
                  <a:schemeClr val="bg1"/>
                </a:solidFill>
              </a:rPr>
              <a:t>D&amp;D</a:t>
            </a:r>
            <a:r>
              <a:rPr lang="en-US" sz="1600" baseline="0">
                <a:ln>
                  <a:solidFill>
                    <a:schemeClr val="bg1"/>
                  </a:solidFill>
                </a:ln>
                <a:solidFill>
                  <a:schemeClr val="bg1"/>
                </a:solidFill>
              </a:rPr>
              <a:t> Calculator</a:t>
            </a:r>
            <a:br>
              <a:rPr lang="en-US" sz="1600" baseline="0">
                <a:ln>
                  <a:solidFill>
                    <a:schemeClr val="bg1"/>
                  </a:solidFill>
                </a:ln>
                <a:solidFill>
                  <a:schemeClr val="bg1"/>
                </a:solidFill>
              </a:rPr>
            </a:br>
            <a:r>
              <a:rPr lang="en-US" sz="1600" baseline="0">
                <a:ln>
                  <a:solidFill>
                    <a:schemeClr val="bg1"/>
                  </a:solidFill>
                </a:ln>
                <a:solidFill>
                  <a:schemeClr val="bg1"/>
                </a:solidFill>
              </a:rPr>
              <a:t>Italy-East Hemisphere</a:t>
            </a:r>
            <a:endParaRPr lang="en-US" sz="1600">
              <a:ln>
                <a:solidFill>
                  <a:schemeClr val="bg1"/>
                </a:solidFill>
              </a:ln>
              <a:solidFill>
                <a:schemeClr val="bg1"/>
              </a:solidFill>
            </a:endParaRPr>
          </a:p>
        </xdr:txBody>
      </xdr:sp>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
          <a:stretch>
            <a:fillRect/>
          </a:stretch>
        </xdr:blipFill>
        <xdr:spPr>
          <a:xfrm>
            <a:off x="5562600" y="1951482"/>
            <a:ext cx="555414" cy="713231"/>
          </a:xfrm>
          <a:prstGeom prst="rect">
            <a:avLst/>
          </a:prstGeom>
          <a:ln>
            <a:noFill/>
          </a:ln>
        </xdr:spPr>
      </xdr:pic>
    </xdr:grpSp>
    <xdr:clientData/>
  </xdr:twoCellAnchor>
  <xdr:twoCellAnchor editAs="absolute">
    <xdr:from>
      <xdr:col>3</xdr:col>
      <xdr:colOff>609599</xdr:colOff>
      <xdr:row>0</xdr:row>
      <xdr:rowOff>22858</xdr:rowOff>
    </xdr:from>
    <xdr:to>
      <xdr:col>4</xdr:col>
      <xdr:colOff>2505074</xdr:colOff>
      <xdr:row>3</xdr:row>
      <xdr:rowOff>80007</xdr:rowOff>
    </xdr:to>
    <xdr:grpSp>
      <xdr:nvGrpSpPr>
        <xdr:cNvPr id="15" name="Group 14">
          <a:extLst>
            <a:ext uri="{FF2B5EF4-FFF2-40B4-BE49-F238E27FC236}">
              <a16:creationId xmlns:a16="http://schemas.microsoft.com/office/drawing/2014/main" id="{00000000-0008-0000-0100-00000F000000}"/>
            </a:ext>
          </a:extLst>
        </xdr:cNvPr>
        <xdr:cNvGrpSpPr/>
      </xdr:nvGrpSpPr>
      <xdr:grpSpPr>
        <a:xfrm>
          <a:off x="6229349" y="22858"/>
          <a:ext cx="2505075" cy="714374"/>
          <a:chOff x="5562600" y="1951482"/>
          <a:chExt cx="2419350" cy="714374"/>
        </a:xfrm>
      </xdr:grpSpPr>
      <xdr:sp macro="" textlink="">
        <xdr:nvSpPr>
          <xdr:cNvPr id="16" name="Rectangle 15">
            <a:extLst>
              <a:ext uri="{FF2B5EF4-FFF2-40B4-BE49-F238E27FC236}">
                <a16:creationId xmlns:a16="http://schemas.microsoft.com/office/drawing/2014/main" id="{00000000-0008-0000-0100-000010000000}"/>
              </a:ext>
            </a:extLst>
          </xdr:cNvPr>
          <xdr:cNvSpPr>
            <a:spLocks noChangeAspect="1"/>
          </xdr:cNvSpPr>
        </xdr:nvSpPr>
        <xdr:spPr>
          <a:xfrm>
            <a:off x="6118014" y="1951482"/>
            <a:ext cx="1863936" cy="714374"/>
          </a:xfrm>
          <a:prstGeom prst="rect">
            <a:avLst/>
          </a:prstGeom>
          <a:solidFill>
            <a:srgbClr val="FF660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overflow" horzOverflow="overflow" lIns="0" tIns="0" rIns="0" bIns="0" rtlCol="0" anchor="ctr"/>
          <a:lstStyle/>
          <a:p>
            <a:pPr algn="ctr"/>
            <a:r>
              <a:rPr lang="en-US" sz="1600">
                <a:ln>
                  <a:solidFill>
                    <a:schemeClr val="bg1"/>
                  </a:solidFill>
                </a:ln>
                <a:solidFill>
                  <a:schemeClr val="bg1"/>
                </a:solidFill>
              </a:rPr>
              <a:t>D&amp;D</a:t>
            </a:r>
            <a:r>
              <a:rPr lang="en-US" sz="1600" baseline="0">
                <a:ln>
                  <a:solidFill>
                    <a:schemeClr val="bg1"/>
                  </a:solidFill>
                </a:ln>
                <a:solidFill>
                  <a:schemeClr val="bg1"/>
                </a:solidFill>
              </a:rPr>
              <a:t> Calculator</a:t>
            </a:r>
            <a:br>
              <a:rPr lang="en-US" sz="1600" baseline="0">
                <a:ln>
                  <a:solidFill>
                    <a:schemeClr val="bg1"/>
                  </a:solidFill>
                </a:ln>
                <a:solidFill>
                  <a:schemeClr val="bg1"/>
                </a:solidFill>
              </a:rPr>
            </a:br>
            <a:r>
              <a:rPr lang="en-US" sz="1600" baseline="0">
                <a:ln>
                  <a:solidFill>
                    <a:schemeClr val="bg1"/>
                  </a:solidFill>
                </a:ln>
                <a:solidFill>
                  <a:schemeClr val="bg1"/>
                </a:solidFill>
              </a:rPr>
              <a:t>Italy West-Hemisphere</a:t>
            </a:r>
            <a:endParaRPr lang="en-US" sz="1600">
              <a:ln>
                <a:solidFill>
                  <a:schemeClr val="bg1"/>
                </a:solidFill>
              </a:ln>
              <a:solidFill>
                <a:schemeClr val="bg1"/>
              </a:solidFill>
            </a:endParaRPr>
          </a:p>
        </xdr:txBody>
      </xdr:sp>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1"/>
          <a:stretch>
            <a:fillRect/>
          </a:stretch>
        </xdr:blipFill>
        <xdr:spPr>
          <a:xfrm>
            <a:off x="5562600" y="1951482"/>
            <a:ext cx="555414" cy="713231"/>
          </a:xfrm>
          <a:prstGeom prst="rect">
            <a:avLst/>
          </a:prstGeom>
          <a:ln>
            <a:noFill/>
          </a:ln>
        </xdr:spPr>
      </xdr:pic>
    </xdr:grpSp>
    <xdr:clientData/>
  </xdr:twoCellAnchor>
  <xdr:twoCellAnchor editAs="absolute">
    <xdr:from>
      <xdr:col>6</xdr:col>
      <xdr:colOff>0</xdr:colOff>
      <xdr:row>0</xdr:row>
      <xdr:rowOff>22858</xdr:rowOff>
    </xdr:from>
    <xdr:to>
      <xdr:col>7</xdr:col>
      <xdr:colOff>0</xdr:colOff>
      <xdr:row>3</xdr:row>
      <xdr:rowOff>80007</xdr:rowOff>
    </xdr:to>
    <xdr:grpSp>
      <xdr:nvGrpSpPr>
        <xdr:cNvPr id="18" name="Group 17">
          <a:extLst>
            <a:ext uri="{FF2B5EF4-FFF2-40B4-BE49-F238E27FC236}">
              <a16:creationId xmlns:a16="http://schemas.microsoft.com/office/drawing/2014/main" id="{00000000-0008-0000-0100-000012000000}"/>
            </a:ext>
          </a:extLst>
        </xdr:cNvPr>
        <xdr:cNvGrpSpPr/>
      </xdr:nvGrpSpPr>
      <xdr:grpSpPr>
        <a:xfrm>
          <a:off x="9344025" y="22858"/>
          <a:ext cx="2505075" cy="714374"/>
          <a:chOff x="5562601" y="1951482"/>
          <a:chExt cx="2419349" cy="714374"/>
        </a:xfrm>
      </xdr:grpSpPr>
      <xdr:sp macro="" textlink="">
        <xdr:nvSpPr>
          <xdr:cNvPr id="19" name="Rectangle 18">
            <a:extLst>
              <a:ext uri="{FF2B5EF4-FFF2-40B4-BE49-F238E27FC236}">
                <a16:creationId xmlns:a16="http://schemas.microsoft.com/office/drawing/2014/main" id="{00000000-0008-0000-0100-000013000000}"/>
              </a:ext>
            </a:extLst>
          </xdr:cNvPr>
          <xdr:cNvSpPr>
            <a:spLocks noChangeAspect="1"/>
          </xdr:cNvSpPr>
        </xdr:nvSpPr>
        <xdr:spPr>
          <a:xfrm>
            <a:off x="6118014" y="1951482"/>
            <a:ext cx="1863936" cy="714374"/>
          </a:xfrm>
          <a:prstGeom prst="rect">
            <a:avLst/>
          </a:prstGeom>
          <a:solidFill>
            <a:srgbClr val="FF660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overflow" horzOverflow="overflow" lIns="0" tIns="0" rIns="0" bIns="0" rtlCol="0" anchor="ctr"/>
          <a:lstStyle/>
          <a:p>
            <a:pPr algn="ctr"/>
            <a:r>
              <a:rPr lang="en-US" sz="1600">
                <a:ln>
                  <a:solidFill>
                    <a:schemeClr val="bg1"/>
                  </a:solidFill>
                </a:ln>
                <a:solidFill>
                  <a:schemeClr val="bg1"/>
                </a:solidFill>
              </a:rPr>
              <a:t>D&amp;D</a:t>
            </a:r>
            <a:r>
              <a:rPr lang="en-US" sz="1600" baseline="0">
                <a:ln>
                  <a:solidFill>
                    <a:schemeClr val="bg1"/>
                  </a:solidFill>
                </a:ln>
                <a:solidFill>
                  <a:schemeClr val="bg1"/>
                </a:solidFill>
              </a:rPr>
              <a:t> Calculator</a:t>
            </a:r>
            <a:br>
              <a:rPr lang="en-US" sz="1600" baseline="0">
                <a:ln>
                  <a:solidFill>
                    <a:schemeClr val="bg1"/>
                  </a:solidFill>
                </a:ln>
                <a:solidFill>
                  <a:schemeClr val="bg1"/>
                </a:solidFill>
              </a:rPr>
            </a:br>
            <a:r>
              <a:rPr lang="en-US" sz="1600" baseline="0">
                <a:ln>
                  <a:solidFill>
                    <a:schemeClr val="bg1"/>
                  </a:solidFill>
                </a:ln>
                <a:solidFill>
                  <a:schemeClr val="bg1"/>
                </a:solidFill>
              </a:rPr>
              <a:t>Spain &amp; Portugal</a:t>
            </a:r>
            <a:endParaRPr lang="en-US" sz="1600">
              <a:ln>
                <a:solidFill>
                  <a:schemeClr val="bg1"/>
                </a:solidFill>
              </a:ln>
              <a:solidFill>
                <a:schemeClr val="bg1"/>
              </a:solidFill>
            </a:endParaRPr>
          </a:p>
        </xdr:txBody>
      </xdr:sp>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a:stretch>
            <a:fillRect/>
          </a:stretch>
        </xdr:blipFill>
        <xdr:spPr>
          <a:xfrm>
            <a:off x="5562601" y="1951482"/>
            <a:ext cx="555414" cy="713231"/>
          </a:xfrm>
          <a:prstGeom prst="rect">
            <a:avLst/>
          </a:prstGeom>
          <a:ln>
            <a:noFill/>
          </a:ln>
        </xdr:spPr>
      </xdr:pic>
    </xdr:grpSp>
    <xdr:clientData/>
  </xdr:twoCellAnchor>
  <xdr:twoCellAnchor editAs="absolute">
    <xdr:from>
      <xdr:col>2</xdr:col>
      <xdr:colOff>0</xdr:colOff>
      <xdr:row>11</xdr:row>
      <xdr:rowOff>0</xdr:rowOff>
    </xdr:from>
    <xdr:to>
      <xdr:col>3</xdr:col>
      <xdr:colOff>0</xdr:colOff>
      <xdr:row>14</xdr:row>
      <xdr:rowOff>142874</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114675" y="2209800"/>
          <a:ext cx="2505075" cy="714374"/>
          <a:chOff x="5562601" y="1951482"/>
          <a:chExt cx="2419349" cy="714374"/>
        </a:xfrm>
      </xdr:grpSpPr>
      <xdr:sp macro="" textlink="">
        <xdr:nvSpPr>
          <xdr:cNvPr id="21" name="Rectangle 20">
            <a:extLst>
              <a:ext uri="{FF2B5EF4-FFF2-40B4-BE49-F238E27FC236}">
                <a16:creationId xmlns:a16="http://schemas.microsoft.com/office/drawing/2014/main" id="{00000000-0008-0000-0100-000015000000}"/>
              </a:ext>
            </a:extLst>
          </xdr:cNvPr>
          <xdr:cNvSpPr>
            <a:spLocks noChangeAspect="1"/>
          </xdr:cNvSpPr>
        </xdr:nvSpPr>
        <xdr:spPr>
          <a:xfrm>
            <a:off x="6118014" y="1951482"/>
            <a:ext cx="1863936" cy="714374"/>
          </a:xfrm>
          <a:prstGeom prst="rect">
            <a:avLst/>
          </a:prstGeom>
          <a:solidFill>
            <a:srgbClr val="FF660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overflow" horzOverflow="overflow" lIns="0" tIns="0" rIns="0" bIns="0" rtlCol="0" anchor="ctr"/>
          <a:lstStyle/>
          <a:p>
            <a:pPr algn="ctr"/>
            <a:r>
              <a:rPr lang="en-US" sz="1600">
                <a:ln>
                  <a:solidFill>
                    <a:schemeClr val="bg1"/>
                  </a:solidFill>
                </a:ln>
                <a:solidFill>
                  <a:schemeClr val="bg1"/>
                </a:solidFill>
              </a:rPr>
              <a:t>D&amp;D</a:t>
            </a:r>
            <a:r>
              <a:rPr lang="en-US" sz="1600" baseline="0">
                <a:ln>
                  <a:solidFill>
                    <a:schemeClr val="bg1"/>
                  </a:solidFill>
                </a:ln>
                <a:solidFill>
                  <a:schemeClr val="bg1"/>
                </a:solidFill>
              </a:rPr>
              <a:t> Calculator</a:t>
            </a:r>
            <a:br>
              <a:rPr lang="en-US" sz="1600" baseline="0">
                <a:ln>
                  <a:solidFill>
                    <a:schemeClr val="bg1"/>
                  </a:solidFill>
                </a:ln>
                <a:solidFill>
                  <a:schemeClr val="bg1"/>
                </a:solidFill>
              </a:rPr>
            </a:br>
            <a:r>
              <a:rPr lang="en-US" sz="1600" baseline="0">
                <a:ln>
                  <a:solidFill>
                    <a:schemeClr val="bg1"/>
                  </a:solidFill>
                </a:ln>
                <a:solidFill>
                  <a:schemeClr val="bg1"/>
                </a:solidFill>
              </a:rPr>
              <a:t>Morocco</a:t>
            </a:r>
            <a:endParaRPr lang="en-US" sz="1600">
              <a:ln>
                <a:solidFill>
                  <a:schemeClr val="bg1"/>
                </a:solidFill>
              </a:ln>
              <a:solidFill>
                <a:schemeClr val="bg1"/>
              </a:solidFill>
            </a:endParaRPr>
          </a:p>
        </xdr:txBody>
      </xdr:sp>
      <xdr:pic>
        <xdr:nvPicPr>
          <xdr:cNvPr id="22" name="Pictur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1"/>
          <a:stretch>
            <a:fillRect/>
          </a:stretch>
        </xdr:blipFill>
        <xdr:spPr>
          <a:xfrm>
            <a:off x="5562601" y="1951482"/>
            <a:ext cx="555414" cy="713231"/>
          </a:xfrm>
          <a:prstGeom prst="rect">
            <a:avLst/>
          </a:prstGeom>
          <a:ln>
            <a:noFill/>
          </a:ln>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87314</xdr:colOff>
      <xdr:row>0</xdr:row>
      <xdr:rowOff>31750</xdr:rowOff>
    </xdr:from>
    <xdr:to>
      <xdr:col>0</xdr:col>
      <xdr:colOff>587694</xdr:colOff>
      <xdr:row>3</xdr:row>
      <xdr:rowOff>0</xdr:rowOff>
    </xdr:to>
    <xdr:pic>
      <xdr:nvPicPr>
        <xdr:cNvPr id="7" name="Picture 6">
          <a:hlinkClick xmlns:r="http://schemas.openxmlformats.org/officeDocument/2006/relationships" r:id="rId1"/>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7314" y="31750"/>
          <a:ext cx="508000" cy="504031"/>
        </a:xfrm>
        <a:prstGeom prst="rect">
          <a:avLst/>
        </a:prstGeom>
      </xdr:spPr>
    </xdr:pic>
    <xdr:clientData/>
  </xdr:twoCellAnchor>
  <xdr:twoCellAnchor>
    <xdr:from>
      <xdr:col>1</xdr:col>
      <xdr:colOff>285749</xdr:colOff>
      <xdr:row>16</xdr:row>
      <xdr:rowOff>464343</xdr:rowOff>
    </xdr:from>
    <xdr:to>
      <xdr:col>19</xdr:col>
      <xdr:colOff>1214437</xdr:colOff>
      <xdr:row>16</xdr:row>
      <xdr:rowOff>464343</xdr:rowOff>
    </xdr:to>
    <xdr:cxnSp macro="">
      <xdr:nvCxnSpPr>
        <xdr:cNvPr id="3" name="Straight Connector 2">
          <a:extLst>
            <a:ext uri="{FF2B5EF4-FFF2-40B4-BE49-F238E27FC236}">
              <a16:creationId xmlns:a16="http://schemas.microsoft.com/office/drawing/2014/main" id="{00000000-0008-0000-0200-000003000000}"/>
            </a:ext>
          </a:extLst>
        </xdr:cNvPr>
        <xdr:cNvCxnSpPr/>
      </xdr:nvCxnSpPr>
      <xdr:spPr>
        <a:xfrm>
          <a:off x="928687" y="4167187"/>
          <a:ext cx="32527875" cy="0"/>
        </a:xfrm>
        <a:prstGeom prst="line">
          <a:avLst/>
        </a:prstGeom>
        <a:ln w="3175">
          <a:solidFill>
            <a:schemeClr val="bg2"/>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285749</xdr:colOff>
      <xdr:row>31</xdr:row>
      <xdr:rowOff>381000</xdr:rowOff>
    </xdr:from>
    <xdr:to>
      <xdr:col>19</xdr:col>
      <xdr:colOff>1238250</xdr:colOff>
      <xdr:row>31</xdr:row>
      <xdr:rowOff>381000</xdr:rowOff>
    </xdr:to>
    <xdr:cxnSp macro="">
      <xdr:nvCxnSpPr>
        <xdr:cNvPr id="8" name="Straight Connector 7">
          <a:extLst>
            <a:ext uri="{FF2B5EF4-FFF2-40B4-BE49-F238E27FC236}">
              <a16:creationId xmlns:a16="http://schemas.microsoft.com/office/drawing/2014/main" id="{00000000-0008-0000-0200-000008000000}"/>
            </a:ext>
          </a:extLst>
        </xdr:cNvPr>
        <xdr:cNvCxnSpPr/>
      </xdr:nvCxnSpPr>
      <xdr:spPr>
        <a:xfrm>
          <a:off x="928687" y="8667750"/>
          <a:ext cx="32551688" cy="0"/>
        </a:xfrm>
        <a:prstGeom prst="line">
          <a:avLst/>
        </a:prstGeom>
        <a:ln w="3175">
          <a:solidFill>
            <a:schemeClr val="bg2"/>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65625</xdr:colOff>
      <xdr:row>0</xdr:row>
      <xdr:rowOff>57150</xdr:rowOff>
    </xdr:from>
    <xdr:to>
      <xdr:col>0</xdr:col>
      <xdr:colOff>564947</xdr:colOff>
      <xdr:row>3</xdr:row>
      <xdr:rowOff>127454</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25" y="57150"/>
          <a:ext cx="499322" cy="5148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37</xdr:row>
      <xdr:rowOff>0</xdr:rowOff>
    </xdr:from>
    <xdr:ext cx="11777382" cy="298114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7720853"/>
          <a:ext cx="11777382" cy="2981140"/>
        </a:xfrm>
        <a:prstGeom prst="rect">
          <a:avLst/>
        </a:prstGeom>
        <a:solidFill>
          <a:schemeClr val="bg1"/>
        </a:solidFill>
        <a:ln>
          <a:solidFill>
            <a:schemeClr val="accent2"/>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lIns="108000" tIns="108000" rIns="108000" bIns="108000" rtlCol="0" anchor="t">
          <a:noAutofit/>
        </a:bodyPr>
        <a:lstStyle/>
        <a:p>
          <a:r>
            <a:rPr lang="en-US" sz="1100">
              <a:solidFill>
                <a:schemeClr val="tx1"/>
              </a:solidFill>
              <a:effectLst/>
              <a:latin typeface="+mn-lt"/>
              <a:ea typeface="+mn-ea"/>
              <a:cs typeface="+mn-cs"/>
            </a:rPr>
            <a:t>Hapag-Lloyd offers to customers discounted additional Free Days for Detention at destination (ADFT) according to the Hapag-Lloyd ADFT tariff, which can be accessed online at </a:t>
          </a:r>
          <a:r>
            <a:rPr lang="en-US" sz="1100">
              <a:ln>
                <a:noFill/>
              </a:ln>
              <a:solidFill>
                <a:schemeClr val="tx1"/>
              </a:solidFill>
            </a:rPr>
            <a:t>https://www.hapag-lloyd.com/en/landingpage/additional-freetime.html</a:t>
          </a:r>
        </a:p>
        <a:p>
          <a:r>
            <a:rPr lang="en-US" sz="1100">
              <a:ln>
                <a:noFill/>
              </a:ln>
              <a:solidFill>
                <a:schemeClr val="tx1"/>
              </a:solidFill>
            </a:rPr>
            <a:t> The following terms apply:</a:t>
          </a:r>
          <a:r>
            <a:rPr lang="en-US" sz="1100" baseline="0">
              <a:ln>
                <a:noFill/>
              </a:ln>
              <a:solidFill>
                <a:schemeClr val="tx1"/>
              </a:solidFill>
            </a:rPr>
            <a:t> </a:t>
          </a:r>
        </a:p>
        <a:p>
          <a:r>
            <a:rPr lang="en-US" sz="1100">
              <a:ln>
                <a:noFill/>
              </a:ln>
              <a:solidFill>
                <a:schemeClr val="tx1"/>
              </a:solidFill>
            </a:rPr>
            <a:t>The</a:t>
          </a:r>
          <a:r>
            <a:rPr lang="en-US" sz="1100" baseline="0">
              <a:ln>
                <a:noFill/>
              </a:ln>
              <a:solidFill>
                <a:schemeClr val="tx1"/>
              </a:solidFill>
            </a:rPr>
            <a:t> scope of ADFT</a:t>
          </a:r>
          <a:r>
            <a:rPr lang="en-US" sz="1100">
              <a:solidFill>
                <a:schemeClr val="tx1"/>
              </a:solidFill>
              <a:effectLst/>
              <a:latin typeface="+mn-lt"/>
              <a:ea typeface="+mn-ea"/>
              <a:cs typeface="+mn-cs"/>
            </a:rPr>
            <a:t> is currently limited to additional </a:t>
          </a:r>
          <a:r>
            <a:rPr lang="en-US" sz="1100" u="none">
              <a:solidFill>
                <a:schemeClr val="tx1"/>
              </a:solidFill>
              <a:effectLst/>
              <a:latin typeface="+mn-lt"/>
              <a:ea typeface="+mn-ea"/>
              <a:cs typeface="+mn-cs"/>
            </a:rPr>
            <a:t>detention freetime at destination and to 20GP and 40GP/HC hazardous and non-hazardous </a:t>
          </a:r>
          <a:r>
            <a:rPr lang="en-US" sz="1100" u="none">
              <a:ln>
                <a:noFill/>
              </a:ln>
              <a:solidFill>
                <a:schemeClr val="tx1"/>
              </a:solidFill>
              <a:effectLst/>
              <a:latin typeface="+mn-lt"/>
              <a:ea typeface="+mn-ea"/>
              <a:cs typeface="+mn-cs"/>
            </a:rPr>
            <a:t>.</a:t>
          </a:r>
          <a:r>
            <a:rPr lang="en-US" sz="1100" u="none" baseline="0">
              <a:ln>
                <a:noFill/>
              </a:ln>
              <a:solidFill>
                <a:schemeClr val="tx1"/>
              </a:solidFill>
              <a:effectLst/>
              <a:latin typeface="+mn-lt"/>
              <a:ea typeface="+mn-ea"/>
              <a:cs typeface="+mn-cs"/>
            </a:rPr>
            <a:t> </a:t>
          </a:r>
          <a:r>
            <a:rPr lang="en-US" sz="1100" baseline="0">
              <a:ln>
                <a:noFill/>
              </a:ln>
              <a:solidFill>
                <a:schemeClr val="tx1"/>
              </a:solidFill>
            </a:rPr>
            <a:t>S</a:t>
          </a:r>
          <a:r>
            <a:rPr lang="en-US" sz="1100">
              <a:ln>
                <a:noFill/>
              </a:ln>
              <a:solidFill>
                <a:schemeClr val="tx1"/>
              </a:solidFill>
            </a:rPr>
            <a:t>hipments of special equipment and Reefers</a:t>
          </a:r>
          <a:r>
            <a:rPr lang="en-US" sz="1100" baseline="0">
              <a:ln>
                <a:noFill/>
              </a:ln>
              <a:solidFill>
                <a:schemeClr val="tx1"/>
              </a:solidFill>
            </a:rPr>
            <a:t> </a:t>
          </a:r>
          <a:r>
            <a:rPr lang="en-US" sz="1100">
              <a:ln>
                <a:noFill/>
              </a:ln>
              <a:solidFill>
                <a:schemeClr val="tx1"/>
              </a:solidFill>
            </a:rPr>
            <a:t>are not eligible for Freetime Day-Packages.</a:t>
          </a:r>
        </a:p>
        <a:p>
          <a:r>
            <a:rPr lang="en-US" sz="1100">
              <a:ln>
                <a:noFill/>
              </a:ln>
              <a:solidFill>
                <a:schemeClr val="tx1"/>
              </a:solidFill>
            </a:rPr>
            <a:t>ADFT can be purchased in Freetime Day-Packages for a discounted price against the tariff rate . The maximum amount of purchasable additional free time is 10 days per Freetime Day-Package and Shipment. </a:t>
          </a:r>
          <a:r>
            <a:rPr lang="en-US" sz="1100">
              <a:solidFill>
                <a:schemeClr val="tx1"/>
              </a:solidFill>
              <a:effectLst/>
              <a:latin typeface="+mn-lt"/>
              <a:ea typeface="+mn-ea"/>
              <a:cs typeface="+mn-cs"/>
            </a:rPr>
            <a:t>The purchased additional freetime days will count on top of the free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days already agreed and applicable for the individual shipment.</a:t>
          </a:r>
          <a:r>
            <a:rPr lang="en-US" sz="1100" baseline="0">
              <a:solidFill>
                <a:schemeClr val="tx1"/>
              </a:solidFill>
              <a:effectLst/>
              <a:latin typeface="+mn-lt"/>
              <a:ea typeface="+mn-ea"/>
              <a:cs typeface="+mn-cs"/>
            </a:rPr>
            <a:t> </a:t>
          </a:r>
        </a:p>
        <a:p>
          <a:r>
            <a:rPr lang="en-US" sz="1100">
              <a:solidFill>
                <a:schemeClr val="tx1"/>
              </a:solidFill>
              <a:effectLst/>
              <a:latin typeface="+mn-lt"/>
              <a:ea typeface="+mn-ea"/>
              <a:cs typeface="+mn-cs"/>
            </a:rPr>
            <a:t>The purchased Freetime Day-Packages have to be paid in full within</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fourteen days or latest before vessel arrival at port of destination,</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whichever comes first.</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If a customer has agreed credit terms in a service contract, these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terms shall govern payment.</a:t>
          </a:r>
          <a:endParaRPr lang="de-DE">
            <a:effectLst/>
          </a:endParaRPr>
        </a:p>
        <a:p>
          <a:r>
            <a:rPr lang="en-US" sz="1100">
              <a:ln>
                <a:noFill/>
              </a:ln>
              <a:solidFill>
                <a:schemeClr val="tx1"/>
              </a:solidFill>
            </a:rPr>
            <a:t>Unused freetime days cannot</a:t>
          </a:r>
          <a:r>
            <a:rPr lang="en-US" sz="1100" baseline="0">
              <a:ln>
                <a:noFill/>
              </a:ln>
              <a:solidFill>
                <a:schemeClr val="tx1"/>
              </a:solidFill>
            </a:rPr>
            <a:t> be </a:t>
          </a:r>
          <a:r>
            <a:rPr lang="en-US" sz="1100">
              <a:ln>
                <a:noFill/>
              </a:ln>
              <a:solidFill>
                <a:schemeClr val="tx1"/>
              </a:solidFill>
            </a:rPr>
            <a:t>refunded .If the Merchant exceeds the purchased additional freetime days, the</a:t>
          </a:r>
          <a:r>
            <a:rPr lang="en-US" sz="1100" baseline="0">
              <a:ln>
                <a:noFill/>
              </a:ln>
              <a:solidFill>
                <a:schemeClr val="tx1"/>
              </a:solidFill>
            </a:rPr>
            <a:t> </a:t>
          </a:r>
          <a:r>
            <a:rPr lang="en-US" sz="1100">
              <a:ln>
                <a:noFill/>
              </a:ln>
              <a:solidFill>
                <a:schemeClr val="tx1"/>
              </a:solidFill>
            </a:rPr>
            <a:t>standard terms and conditions for detention and demurrage of the</a:t>
          </a:r>
          <a:r>
            <a:rPr lang="en-US" sz="1100" baseline="0">
              <a:ln>
                <a:noFill/>
              </a:ln>
              <a:solidFill>
                <a:schemeClr val="tx1"/>
              </a:solidFill>
            </a:rPr>
            <a:t> </a:t>
          </a:r>
          <a:r>
            <a:rPr lang="en-US" sz="1100">
              <a:ln>
                <a:noFill/>
              </a:ln>
              <a:solidFill>
                <a:schemeClr val="tx1"/>
              </a:solidFill>
            </a:rPr>
            <a:t>Hapag-Lloyd tariff will apply.</a:t>
          </a:r>
          <a:r>
            <a:rPr lang="en-US" sz="1100" baseline="0">
              <a:ln>
                <a:noFill/>
              </a:ln>
              <a:solidFill>
                <a:schemeClr val="tx1"/>
              </a:solidFill>
            </a:rPr>
            <a:t> </a:t>
          </a:r>
          <a:r>
            <a:rPr lang="en-US" sz="1100">
              <a:ln>
                <a:noFill/>
              </a:ln>
              <a:solidFill>
                <a:schemeClr val="tx1"/>
              </a:solidFill>
            </a:rPr>
            <a:t>Additional Free Days only apply for the Carriers time pending</a:t>
          </a:r>
          <a:r>
            <a:rPr lang="en-US" sz="1100" baseline="0">
              <a:ln>
                <a:noFill/>
              </a:ln>
              <a:solidFill>
                <a:schemeClr val="tx1"/>
              </a:solidFill>
            </a:rPr>
            <a:t> d</a:t>
          </a:r>
          <a:r>
            <a:rPr lang="en-US" sz="1100">
              <a:ln>
                <a:noFill/>
              </a:ln>
              <a:solidFill>
                <a:schemeClr val="tx1"/>
              </a:solidFill>
            </a:rPr>
            <a:t>etention charges at destination. Freetime Day-Package have no other</a:t>
          </a:r>
          <a:r>
            <a:rPr lang="en-US" sz="1100" baseline="0">
              <a:ln>
                <a:noFill/>
              </a:ln>
              <a:solidFill>
                <a:schemeClr val="tx1"/>
              </a:solidFill>
            </a:rPr>
            <a:t> </a:t>
          </a:r>
          <a:r>
            <a:rPr lang="en-US" sz="1100">
              <a:ln>
                <a:noFill/>
              </a:ln>
              <a:solidFill>
                <a:schemeClr val="tx1"/>
              </a:solidFill>
            </a:rPr>
            <a:t>effect on the tariff rules applicable for the shipment. Terminal</a:t>
          </a:r>
          <a:r>
            <a:rPr lang="en-US" sz="1100" baseline="0">
              <a:ln>
                <a:noFill/>
              </a:ln>
              <a:solidFill>
                <a:schemeClr val="tx1"/>
              </a:solidFill>
            </a:rPr>
            <a:t> </a:t>
          </a:r>
          <a:r>
            <a:rPr lang="en-US" sz="1100">
              <a:ln>
                <a:noFill/>
              </a:ln>
              <a:solidFill>
                <a:schemeClr val="tx1"/>
              </a:solidFill>
            </a:rPr>
            <a:t>storage, ramp storage cost, other time pending local charges etc.</a:t>
          </a:r>
          <a:r>
            <a:rPr lang="en-US" sz="1100" baseline="0">
              <a:ln>
                <a:noFill/>
              </a:ln>
              <a:solidFill>
                <a:schemeClr val="tx1"/>
              </a:solidFill>
            </a:rPr>
            <a:t> </a:t>
          </a:r>
          <a:r>
            <a:rPr lang="en-US" sz="1100">
              <a:ln>
                <a:noFill/>
              </a:ln>
              <a:solidFill>
                <a:schemeClr val="tx1"/>
              </a:solidFill>
            </a:rPr>
            <a:t>will continue to accrue.</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8</xdr:col>
      <xdr:colOff>238125</xdr:colOff>
      <xdr:row>4</xdr:row>
      <xdr:rowOff>95250</xdr:rowOff>
    </xdr:from>
    <xdr:to>
      <xdr:col>21</xdr:col>
      <xdr:colOff>17046</xdr:colOff>
      <xdr:row>26</xdr:row>
      <xdr:rowOff>144879</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3696950" y="885825"/>
          <a:ext cx="7703721" cy="44311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0</xdr:colOff>
      <xdr:row>14</xdr:row>
      <xdr:rowOff>0</xdr:rowOff>
    </xdr:from>
    <xdr:to>
      <xdr:col>4</xdr:col>
      <xdr:colOff>702309</xdr:colOff>
      <xdr:row>20</xdr:row>
      <xdr:rowOff>59371</xdr:rowOff>
    </xdr:to>
    <xdr:sp macro="" textlink="">
      <xdr:nvSpPr>
        <xdr:cNvPr id="6" name="Rectangle 5">
          <a:extLst>
            <a:ext uri="{FF2B5EF4-FFF2-40B4-BE49-F238E27FC236}">
              <a16:creationId xmlns:a16="http://schemas.microsoft.com/office/drawing/2014/main" id="{00000000-0008-0000-0700-000006000000}"/>
            </a:ext>
          </a:extLst>
        </xdr:cNvPr>
        <xdr:cNvSpPr>
          <a:spLocks noChangeAspect="1"/>
        </xdr:cNvSpPr>
      </xdr:nvSpPr>
      <xdr:spPr>
        <a:xfrm>
          <a:off x="809625" y="4667250"/>
          <a:ext cx="3321684" cy="2488246"/>
        </a:xfrm>
        <a:prstGeom prst="rect">
          <a:avLst/>
        </a:prstGeom>
        <a:solidFill>
          <a:srgbClr val="FF6600"/>
        </a:solidFill>
        <a:ln>
          <a:noFill/>
        </a:ln>
        <a:scene3d>
          <a:camera prst="orthographicFront"/>
          <a:lightRig rig="threePt" dir="t"/>
        </a:scene3d>
        <a:sp3d>
          <a:bevelT w="139700" h="139700" prst="divot"/>
        </a:sp3d>
      </xdr:spPr>
      <xdr:style>
        <a:lnRef idx="3">
          <a:schemeClr val="lt1"/>
        </a:lnRef>
        <a:fillRef idx="1">
          <a:schemeClr val="accent6"/>
        </a:fillRef>
        <a:effectRef idx="1">
          <a:schemeClr val="accent6"/>
        </a:effectRef>
        <a:fontRef idx="minor">
          <a:schemeClr val="lt1"/>
        </a:fontRef>
      </xdr:style>
      <xdr:txBody>
        <a:bodyPr vertOverflow="clip" horzOverflow="clip" lIns="274320" rIns="274320" rtlCol="0" anchor="ctr"/>
        <a:lstStyle/>
        <a:p>
          <a:pPr algn="l"/>
          <a:r>
            <a:rPr lang="en-US" sz="1800" b="1">
              <a:ln>
                <a:noFill/>
              </a:ln>
              <a:solidFill>
                <a:sysClr val="windowText" lastClr="000000"/>
              </a:solidFill>
            </a:rPr>
            <a:t>Costs</a:t>
          </a:r>
          <a:r>
            <a:rPr lang="en-US" sz="1800" b="1" baseline="0">
              <a:ln>
                <a:noFill/>
              </a:ln>
              <a:solidFill>
                <a:sysClr val="windowText" lastClr="000000"/>
              </a:solidFill>
            </a:rPr>
            <a:t> here applies to the import cargoes to Italy only coming from;</a:t>
          </a:r>
        </a:p>
        <a:p>
          <a:pPr algn="l"/>
          <a:r>
            <a:rPr lang="en-US" sz="1800" b="1" u="sng" baseline="0">
              <a:ln>
                <a:noFill/>
              </a:ln>
              <a:solidFill>
                <a:sysClr val="windowText" lastClr="000000"/>
              </a:solidFill>
            </a:rPr>
            <a:t>"Far East, Oceania, Middle East, Indian Continent, Europe and Africa".</a:t>
          </a:r>
          <a:endParaRPr lang="en-US" sz="1800" b="1" u="sng">
            <a:ln>
              <a:noFill/>
            </a:ln>
            <a:solidFill>
              <a:sysClr val="windowText" lastClr="000000"/>
            </a:solidFill>
          </a:endParaRPr>
        </a:p>
      </xdr:txBody>
    </xdr:sp>
    <xdr:clientData/>
  </xdr:twoCellAnchor>
  <xdr:twoCellAnchor editAs="oneCell">
    <xdr:from>
      <xdr:col>0</xdr:col>
      <xdr:colOff>192012</xdr:colOff>
      <xdr:row>0</xdr:row>
      <xdr:rowOff>102871</xdr:rowOff>
    </xdr:from>
    <xdr:to>
      <xdr:col>1</xdr:col>
      <xdr:colOff>358775</xdr:colOff>
      <xdr:row>2</xdr:row>
      <xdr:rowOff>129594</xdr:rowOff>
    </xdr:to>
    <xdr:pic>
      <xdr:nvPicPr>
        <xdr:cNvPr id="7" name="Picture 6">
          <a:hlinkClick xmlns:r="http://schemas.openxmlformats.org/officeDocument/2006/relationships" r:id="rId1"/>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2012" y="102871"/>
          <a:ext cx="511024" cy="50705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2</xdr:col>
      <xdr:colOff>0</xdr:colOff>
      <xdr:row>14</xdr:row>
      <xdr:rowOff>0</xdr:rowOff>
    </xdr:from>
    <xdr:to>
      <xdr:col>4</xdr:col>
      <xdr:colOff>706119</xdr:colOff>
      <xdr:row>20</xdr:row>
      <xdr:rowOff>55561</xdr:rowOff>
    </xdr:to>
    <xdr:sp macro="" textlink="">
      <xdr:nvSpPr>
        <xdr:cNvPr id="2" name="Rectangle 1">
          <a:extLst>
            <a:ext uri="{FF2B5EF4-FFF2-40B4-BE49-F238E27FC236}">
              <a16:creationId xmlns:a16="http://schemas.microsoft.com/office/drawing/2014/main" id="{00000000-0008-0000-0800-000002000000}"/>
            </a:ext>
          </a:extLst>
        </xdr:cNvPr>
        <xdr:cNvSpPr>
          <a:spLocks noChangeAspect="1"/>
        </xdr:cNvSpPr>
      </xdr:nvSpPr>
      <xdr:spPr>
        <a:xfrm>
          <a:off x="797719" y="4667250"/>
          <a:ext cx="3246436" cy="2484436"/>
        </a:xfrm>
        <a:prstGeom prst="rect">
          <a:avLst/>
        </a:prstGeom>
        <a:solidFill>
          <a:srgbClr val="FF6600"/>
        </a:solidFill>
        <a:ln>
          <a:noFill/>
        </a:ln>
        <a:scene3d>
          <a:camera prst="orthographicFront"/>
          <a:lightRig rig="threePt" dir="t"/>
        </a:scene3d>
        <a:sp3d>
          <a:bevelT w="139700" h="139700" prst="divot"/>
        </a:sp3d>
      </xdr:spPr>
      <xdr:style>
        <a:lnRef idx="3">
          <a:schemeClr val="lt1"/>
        </a:lnRef>
        <a:fillRef idx="1">
          <a:schemeClr val="accent6"/>
        </a:fillRef>
        <a:effectRef idx="1">
          <a:schemeClr val="accent6"/>
        </a:effectRef>
        <a:fontRef idx="minor">
          <a:schemeClr val="lt1"/>
        </a:fontRef>
      </xdr:style>
      <xdr:txBody>
        <a:bodyPr vertOverflow="clip" horzOverflow="clip" lIns="274320" rIns="274320" rtlCol="0" anchor="ctr"/>
        <a:lstStyle/>
        <a:p>
          <a:pPr algn="l"/>
          <a:r>
            <a:rPr lang="en-US" sz="1800" b="1">
              <a:ln>
                <a:noFill/>
              </a:ln>
              <a:solidFill>
                <a:sysClr val="windowText" lastClr="000000"/>
              </a:solidFill>
            </a:rPr>
            <a:t>Costs</a:t>
          </a:r>
          <a:r>
            <a:rPr lang="en-US" sz="1800" b="1" baseline="0">
              <a:ln>
                <a:noFill/>
              </a:ln>
              <a:solidFill>
                <a:sysClr val="windowText" lastClr="000000"/>
              </a:solidFill>
            </a:rPr>
            <a:t> here applies to the import cargoes to Italy only coming from;</a:t>
          </a:r>
        </a:p>
        <a:p>
          <a:pPr algn="l"/>
          <a:r>
            <a:rPr lang="en-US" sz="1800" b="1" u="sng" baseline="0">
              <a:ln>
                <a:noFill/>
              </a:ln>
              <a:solidFill>
                <a:sysClr val="windowText" lastClr="000000"/>
              </a:solidFill>
            </a:rPr>
            <a:t>"North and South America".</a:t>
          </a:r>
          <a:endParaRPr lang="en-US" sz="1800" b="1" u="sng">
            <a:ln>
              <a:noFill/>
            </a:ln>
            <a:solidFill>
              <a:sysClr val="windowText" lastClr="000000"/>
            </a:solidFill>
          </a:endParaRPr>
        </a:p>
      </xdr:txBody>
    </xdr:sp>
    <xdr:clientData/>
  </xdr:twoCellAnchor>
  <xdr:twoCellAnchor editAs="oneCell">
    <xdr:from>
      <xdr:col>0</xdr:col>
      <xdr:colOff>192012</xdr:colOff>
      <xdr:row>0</xdr:row>
      <xdr:rowOff>102871</xdr:rowOff>
    </xdr:from>
    <xdr:to>
      <xdr:col>1</xdr:col>
      <xdr:colOff>358775</xdr:colOff>
      <xdr:row>2</xdr:row>
      <xdr:rowOff>129594</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2012" y="102871"/>
          <a:ext cx="509663" cy="4934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167822</xdr:colOff>
      <xdr:row>0</xdr:row>
      <xdr:rowOff>204107</xdr:rowOff>
    </xdr:from>
    <xdr:to>
      <xdr:col>1</xdr:col>
      <xdr:colOff>320916</xdr:colOff>
      <xdr:row>2</xdr:row>
      <xdr:rowOff>211455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7822" y="204107"/>
          <a:ext cx="506880" cy="502920"/>
        </a:xfrm>
        <a:prstGeom prst="rect">
          <a:avLst/>
        </a:prstGeom>
      </xdr:spPr>
    </xdr:pic>
    <xdr:clientData/>
  </xdr:twoCellAnchor>
  <xdr:twoCellAnchor editAs="absolute">
    <xdr:from>
      <xdr:col>2</xdr:col>
      <xdr:colOff>0</xdr:colOff>
      <xdr:row>14</xdr:row>
      <xdr:rowOff>397192</xdr:rowOff>
    </xdr:from>
    <xdr:to>
      <xdr:col>4</xdr:col>
      <xdr:colOff>706119</xdr:colOff>
      <xdr:row>20</xdr:row>
      <xdr:rowOff>479795</xdr:rowOff>
    </xdr:to>
    <xdr:sp macro="" textlink="">
      <xdr:nvSpPr>
        <xdr:cNvPr id="5" name="Rectangle 4">
          <a:extLst>
            <a:ext uri="{FF2B5EF4-FFF2-40B4-BE49-F238E27FC236}">
              <a16:creationId xmlns:a16="http://schemas.microsoft.com/office/drawing/2014/main" id="{00000000-0008-0000-0900-000005000000}"/>
            </a:ext>
          </a:extLst>
        </xdr:cNvPr>
        <xdr:cNvSpPr>
          <a:spLocks noChangeAspect="1"/>
        </xdr:cNvSpPr>
      </xdr:nvSpPr>
      <xdr:spPr>
        <a:xfrm>
          <a:off x="797719" y="5095875"/>
          <a:ext cx="3246436" cy="2497666"/>
        </a:xfrm>
        <a:prstGeom prst="rect">
          <a:avLst/>
        </a:prstGeom>
        <a:solidFill>
          <a:srgbClr val="FF6600"/>
        </a:solidFill>
        <a:ln>
          <a:noFill/>
        </a:ln>
        <a:scene3d>
          <a:camera prst="orthographicFront"/>
          <a:lightRig rig="threePt" dir="t"/>
        </a:scene3d>
        <a:sp3d>
          <a:bevelT w="139700" h="139700" prst="divot"/>
        </a:sp3d>
      </xdr:spPr>
      <xdr:style>
        <a:lnRef idx="3">
          <a:schemeClr val="lt1"/>
        </a:lnRef>
        <a:fillRef idx="1">
          <a:schemeClr val="accent6"/>
        </a:fillRef>
        <a:effectRef idx="1">
          <a:schemeClr val="accent6"/>
        </a:effectRef>
        <a:fontRef idx="minor">
          <a:schemeClr val="lt1"/>
        </a:fontRef>
      </xdr:style>
      <xdr:txBody>
        <a:bodyPr vertOverflow="clip" horzOverflow="clip" lIns="274320" rIns="274320" rtlCol="0" anchor="ctr"/>
        <a:lstStyle/>
        <a:p>
          <a:pPr algn="l"/>
          <a:r>
            <a:rPr lang="en-US" sz="1800" b="1">
              <a:ln>
                <a:noFill/>
              </a:ln>
              <a:solidFill>
                <a:sysClr val="windowText" lastClr="000000"/>
              </a:solidFill>
            </a:rPr>
            <a:t>Costs</a:t>
          </a:r>
          <a:r>
            <a:rPr lang="en-US" sz="1800" b="1" baseline="0">
              <a:ln>
                <a:noFill/>
              </a:ln>
              <a:solidFill>
                <a:sysClr val="windowText" lastClr="000000"/>
              </a:solidFill>
            </a:rPr>
            <a:t> here applies to the import cargoes to Spain and Portugal.</a:t>
          </a:r>
          <a:endParaRPr lang="en-US" sz="1800" b="1" u="sng">
            <a:ln>
              <a:noFill/>
            </a:ln>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FBA793-FAD7-48C7-9AD5-8343537E3901}" name="Table2" displayName="Table2" ref="A2:I36" totalsRowShown="0" headerRowDxfId="61" dataDxfId="60">
  <autoFilter ref="A2:I36" xr:uid="{F0FBA793-FAD7-48C7-9AD5-8343537E3901}"/>
  <tableColumns count="9">
    <tableColumn id="1" xr3:uid="{E63FECEE-48A9-4DF5-92AC-E33BE76FE553}" name="Geo To Region" dataDxfId="59"/>
    <tableColumn id="2" xr3:uid="{146EF0FE-6492-45D1-B6B1-C586942D93AC}" name="To Country &amp; Geo Location" dataDxfId="58"/>
    <tableColumn id="3" xr3:uid="{7AB65A9B-BA2C-4CFF-9981-74375053213D}" name="Valid From" dataDxfId="57"/>
    <tableColumn id="4" xr3:uid="{7A506C97-32B1-4A17-A007-D674DB392512}" name="Valid to" dataDxfId="56"/>
    <tableColumn id="5" xr3:uid="{16007F49-F00E-45B4-A4BF-72FDCBE49378}" name="20'GP" dataDxfId="55"/>
    <tableColumn id="6" xr3:uid="{EB9B1FB4-5E56-48FE-9472-8D1C232AF914}" name="40'GP/HC" dataDxfId="54"/>
    <tableColumn id="7" xr3:uid="{F61993A8-A30D-4458-9432-38BA3ED3B252}" name="20#" dataDxfId="53">
      <calculatedColumnFormula>RIGHT(LEFT(Table2[[#This Row],[20''GP]],6),2)</calculatedColumnFormula>
    </tableColumn>
    <tableColumn id="8" xr3:uid="{CEF9C79F-696F-4EA6-AF9C-864856C287B5}" name="40#" dataDxfId="52">
      <calculatedColumnFormula>RIGHT(LEFT(Table2[[#This Row],[40''GP/HC]],6),2)</calculatedColumnFormula>
    </tableColumn>
    <tableColumn id="9" xr3:uid="{06C80A37-AE79-4B7A-AA56-D1DA364164A1}" name="Column1" dataDxfId="51">
      <calculatedColumnFormula>ISNUMBER(SEARCH(
IF(LEN(TRIM('DD Calculator Europe'!$C$9))-LEN(SUBSTITUTE('DD Calculator Europe'!$C$9," ",""))+1&gt;1,
LEFT('DD Calculator Europe'!$C$9,FIND(" ",'DD Calculator Europe'!$C$9)-1),
'DD Calculator Europe'!$C$9), " "&amp;B3&amp;" "))</calculatedColumnFormula>
    </tableColumn>
  </tableColumns>
  <tableStyleInfo name="TableStyleLight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apag-lloyd.com/en/online-business/quotation/detention-demurrage.html"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solutions.hapag-lloyd.com/navigator/" TargetMode="External"/><Relationship Id="rId1" Type="http://schemas.openxmlformats.org/officeDocument/2006/relationships/hyperlink" Target="https://www.hapag-lloyd.com/en/online-business/book/additional-freetime.html" TargetMode="External"/><Relationship Id="rId6" Type="http://schemas.openxmlformats.org/officeDocument/2006/relationships/comments" Target="../comments5.xml"/><Relationship Id="rId5" Type="http://schemas.openxmlformats.org/officeDocument/2006/relationships/vmlDrawing" Target="../drawings/vmlDrawing6.vm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solutions.hapag-lloyd.com/navigator/" TargetMode="External"/><Relationship Id="rId7" Type="http://schemas.openxmlformats.org/officeDocument/2006/relationships/comments" Target="../comments1.xml"/><Relationship Id="rId2" Type="http://schemas.openxmlformats.org/officeDocument/2006/relationships/hyperlink" Target="https://www.hapag-lloyd.com/en/online-business/book/additional-freetime.html" TargetMode="External"/><Relationship Id="rId1" Type="http://schemas.openxmlformats.org/officeDocument/2006/relationships/hyperlink" Target="https://www.hapag-lloyd.com/en/online-business/quotation/detention-demurrage.html"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hapag-lloyd.com/en/online-business/quotation/detention-demurrage.html" TargetMode="External"/><Relationship Id="rId7" Type="http://schemas.openxmlformats.org/officeDocument/2006/relationships/comments" Target="../comments2.xml"/><Relationship Id="rId2" Type="http://schemas.openxmlformats.org/officeDocument/2006/relationships/hyperlink" Target="https://www.hapag-lloyd.com/en/online-business/quotation/detention-demurrage.html" TargetMode="External"/><Relationship Id="rId1" Type="http://schemas.openxmlformats.org/officeDocument/2006/relationships/hyperlink" Target="https://www.hapag-lloyd.com/en/online-business/book/additional-freetime.html"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olutions.hapag-lloyd.com/navigator/" TargetMode="External"/><Relationship Id="rId1" Type="http://schemas.openxmlformats.org/officeDocument/2006/relationships/hyperlink" Target="https://www.hapag-lloyd.com/en/online-business/book/additional-freetime.html"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olutions.hapag-lloyd.com/navigator/" TargetMode="External"/><Relationship Id="rId1" Type="http://schemas.openxmlformats.org/officeDocument/2006/relationships/hyperlink" Target="https://www.hapag-lloyd.com/en/online-business/book/additional-freetime.html"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F156C-E25C-4D6B-BF05-0A1D699B75CA}">
  <sheetPr codeName="Sheet2"/>
  <dimension ref="A2:Q49"/>
  <sheetViews>
    <sheetView showGridLines="0" tabSelected="1" zoomScale="80" zoomScaleNormal="80" workbookViewId="0">
      <selection activeCell="P34" sqref="P34"/>
    </sheetView>
  </sheetViews>
  <sheetFormatPr defaultColWidth="9.140625" defaultRowHeight="14.25"/>
  <cols>
    <col min="1" max="1" width="3.140625" style="2" customWidth="1"/>
    <col min="2" max="5" width="17.140625" style="2" customWidth="1"/>
    <col min="6" max="7" width="9.140625" style="2"/>
    <col min="8" max="11" width="17.140625" style="2" customWidth="1"/>
    <col min="12" max="12" width="3.140625" style="2" customWidth="1"/>
    <col min="13" max="14" width="9.140625" style="2"/>
    <col min="15" max="15" width="9.140625" style="2" customWidth="1"/>
    <col min="16" max="16384" width="9.140625" style="2"/>
  </cols>
  <sheetData>
    <row r="2" spans="2:15" ht="15.75">
      <c r="B2" s="420" t="s">
        <v>59</v>
      </c>
      <c r="C2" s="420"/>
      <c r="D2" s="420"/>
      <c r="E2" s="420"/>
      <c r="F2" s="420"/>
      <c r="G2" s="420"/>
      <c r="H2" s="420"/>
      <c r="I2" s="420"/>
      <c r="J2" s="420"/>
      <c r="K2" s="420"/>
      <c r="L2" s="9"/>
    </row>
    <row r="3" spans="2:15" ht="15" customHeight="1">
      <c r="B3" s="426" t="s">
        <v>58</v>
      </c>
      <c r="C3" s="426"/>
      <c r="D3" s="426"/>
      <c r="E3" s="426"/>
      <c r="F3" s="426"/>
      <c r="G3" s="426"/>
      <c r="H3" s="426"/>
      <c r="I3" s="426"/>
      <c r="J3" s="426"/>
      <c r="K3" s="426"/>
      <c r="L3" s="9"/>
      <c r="M3" s="1"/>
    </row>
    <row r="4" spans="2:15" ht="15" customHeight="1">
      <c r="B4" s="426"/>
      <c r="C4" s="426"/>
      <c r="D4" s="426"/>
      <c r="E4" s="426"/>
      <c r="F4" s="426"/>
      <c r="G4" s="426"/>
      <c r="H4" s="426"/>
      <c r="I4" s="426"/>
      <c r="J4" s="426"/>
      <c r="K4" s="426"/>
      <c r="L4" s="9"/>
      <c r="M4" s="1"/>
    </row>
    <row r="5" spans="2:15" ht="15" customHeight="1">
      <c r="C5" s="1"/>
      <c r="D5" s="1"/>
      <c r="E5" s="1"/>
      <c r="F5" s="1"/>
      <c r="G5" s="1"/>
      <c r="H5" s="1"/>
      <c r="I5" s="1"/>
      <c r="J5" s="1"/>
      <c r="K5" s="1"/>
      <c r="L5" s="1"/>
      <c r="M5" s="1"/>
    </row>
    <row r="6" spans="2:15" ht="15" customHeight="1">
      <c r="B6" s="421" t="s">
        <v>348</v>
      </c>
      <c r="C6" s="421"/>
      <c r="D6" s="421"/>
      <c r="E6" s="421"/>
      <c r="F6" s="421"/>
      <c r="G6" s="421"/>
      <c r="H6" s="421"/>
      <c r="I6" s="421"/>
      <c r="J6" s="421"/>
      <c r="K6" s="421"/>
      <c r="L6" s="1"/>
      <c r="M6" s="1"/>
    </row>
    <row r="7" spans="2:15" ht="15" customHeight="1">
      <c r="B7" s="421" t="s">
        <v>141</v>
      </c>
      <c r="C7" s="421"/>
      <c r="D7" s="421"/>
      <c r="E7" s="421"/>
      <c r="F7" s="421"/>
      <c r="G7" s="421"/>
      <c r="H7" s="421"/>
      <c r="I7" s="421"/>
      <c r="J7" s="421"/>
      <c r="K7" s="421"/>
      <c r="L7" s="1"/>
      <c r="M7" s="1"/>
      <c r="O7" s="44"/>
    </row>
    <row r="8" spans="2:15" ht="15" customHeight="1">
      <c r="B8" s="422" t="s">
        <v>51</v>
      </c>
      <c r="C8" s="422"/>
      <c r="D8" s="422"/>
      <c r="E8" s="422"/>
      <c r="F8" s="422"/>
      <c r="G8" s="422"/>
      <c r="H8" s="422"/>
      <c r="I8" s="422"/>
      <c r="J8" s="422"/>
      <c r="K8" s="422"/>
      <c r="L8" s="1"/>
      <c r="M8" s="1"/>
      <c r="O8" s="44"/>
    </row>
    <row r="9" spans="2:15" ht="15" customHeight="1">
      <c r="C9" s="1"/>
      <c r="D9" s="1"/>
      <c r="E9" s="1"/>
      <c r="F9" s="1"/>
      <c r="G9" s="1"/>
      <c r="H9" s="1"/>
      <c r="I9" s="1"/>
      <c r="J9" s="1"/>
      <c r="K9" s="1"/>
      <c r="L9" s="1"/>
      <c r="M9" s="1"/>
      <c r="O9" s="44"/>
    </row>
    <row r="10" spans="2:15" ht="15" customHeight="1">
      <c r="B10" s="425" t="s">
        <v>49</v>
      </c>
      <c r="C10" s="425"/>
      <c r="D10" s="425"/>
      <c r="E10" s="425"/>
      <c r="F10" s="1"/>
      <c r="G10" s="1"/>
      <c r="H10" s="424" t="s">
        <v>50</v>
      </c>
      <c r="I10" s="424"/>
      <c r="J10" s="424"/>
      <c r="K10" s="424"/>
      <c r="L10" s="3"/>
      <c r="M10" s="1"/>
      <c r="O10" s="44"/>
    </row>
    <row r="11" spans="2:15" ht="15" customHeight="1">
      <c r="B11" s="5"/>
      <c r="C11" s="5"/>
      <c r="D11" s="5"/>
      <c r="E11" s="5"/>
      <c r="F11" s="1"/>
      <c r="G11" s="1"/>
      <c r="H11" s="1"/>
      <c r="I11" s="6"/>
      <c r="J11" s="6"/>
      <c r="K11" s="6"/>
      <c r="L11" s="6"/>
      <c r="M11" s="1"/>
      <c r="O11" s="44"/>
    </row>
    <row r="12" spans="2:15" ht="14.25" customHeight="1">
      <c r="B12" s="423" t="s">
        <v>140</v>
      </c>
      <c r="C12" s="423"/>
      <c r="D12" s="423"/>
      <c r="E12" s="423"/>
      <c r="I12" s="53"/>
      <c r="J12" s="53"/>
      <c r="K12" s="53"/>
      <c r="L12" s="6"/>
    </row>
    <row r="13" spans="2:15" ht="14.25" customHeight="1">
      <c r="B13" s="423"/>
      <c r="C13" s="423"/>
      <c r="D13" s="423"/>
      <c r="E13" s="423"/>
      <c r="H13" s="427" t="s">
        <v>139</v>
      </c>
      <c r="I13" s="427"/>
      <c r="J13" s="427"/>
      <c r="K13" s="427"/>
      <c r="L13" s="6"/>
    </row>
    <row r="14" spans="2:15" ht="14.25" customHeight="1">
      <c r="B14" s="423"/>
      <c r="C14" s="423"/>
      <c r="D14" s="423"/>
      <c r="E14" s="423"/>
      <c r="H14" s="427"/>
      <c r="I14" s="427"/>
      <c r="J14" s="427"/>
      <c r="K14" s="427"/>
      <c r="L14" s="6"/>
    </row>
    <row r="15" spans="2:15" ht="15" customHeight="1">
      <c r="B15" s="423"/>
      <c r="C15" s="423"/>
      <c r="D15" s="423"/>
      <c r="E15" s="423"/>
      <c r="H15" s="423" t="s">
        <v>234</v>
      </c>
      <c r="I15" s="423"/>
      <c r="J15" s="423"/>
      <c r="K15" s="423"/>
      <c r="L15" s="6"/>
    </row>
    <row r="16" spans="2:15" ht="15" customHeight="1">
      <c r="B16" s="423"/>
      <c r="C16" s="423"/>
      <c r="D16" s="423"/>
      <c r="E16" s="423"/>
      <c r="H16" s="423"/>
      <c r="I16" s="423"/>
      <c r="J16" s="423"/>
      <c r="K16" s="423"/>
      <c r="L16" s="6"/>
    </row>
    <row r="17" spans="2:12" ht="15" customHeight="1">
      <c r="B17" s="423"/>
      <c r="C17" s="423"/>
      <c r="D17" s="423"/>
      <c r="E17" s="423"/>
      <c r="H17" s="423"/>
      <c r="I17" s="423"/>
      <c r="J17" s="423"/>
      <c r="K17" s="423"/>
      <c r="L17" s="6"/>
    </row>
    <row r="18" spans="2:12" ht="15" customHeight="1">
      <c r="B18" s="423"/>
      <c r="C18" s="423"/>
      <c r="D18" s="423"/>
      <c r="E18" s="423"/>
      <c r="H18" s="423"/>
      <c r="I18" s="423"/>
      <c r="J18" s="423"/>
      <c r="K18" s="423"/>
      <c r="L18" s="6"/>
    </row>
    <row r="19" spans="2:12" ht="15" customHeight="1">
      <c r="B19" s="423"/>
      <c r="C19" s="423"/>
      <c r="D19" s="423"/>
      <c r="E19" s="423"/>
      <c r="H19" s="423"/>
      <c r="I19" s="423"/>
      <c r="J19" s="423"/>
      <c r="K19" s="423"/>
      <c r="L19" s="6"/>
    </row>
    <row r="20" spans="2:12" ht="15" customHeight="1">
      <c r="B20" s="423"/>
      <c r="C20" s="423"/>
      <c r="D20" s="423"/>
      <c r="E20" s="423"/>
      <c r="H20" s="423"/>
      <c r="I20" s="423"/>
      <c r="J20" s="423"/>
      <c r="K20" s="423"/>
      <c r="L20" s="6"/>
    </row>
    <row r="21" spans="2:12" ht="15" customHeight="1">
      <c r="B21" s="423"/>
      <c r="C21" s="423"/>
      <c r="D21" s="423"/>
      <c r="E21" s="423"/>
      <c r="H21" s="423"/>
      <c r="I21" s="423"/>
      <c r="J21" s="423"/>
      <c r="K21" s="423"/>
      <c r="L21" s="6"/>
    </row>
    <row r="22" spans="2:12" ht="15" customHeight="1">
      <c r="B22" s="423"/>
      <c r="C22" s="423"/>
      <c r="D22" s="423"/>
      <c r="E22" s="423"/>
      <c r="G22" s="4"/>
      <c r="H22" s="423"/>
      <c r="I22" s="423"/>
      <c r="J22" s="423"/>
      <c r="K22" s="423"/>
      <c r="L22" s="6"/>
    </row>
    <row r="23" spans="2:12" ht="15" customHeight="1">
      <c r="B23" s="423"/>
      <c r="C23" s="423"/>
      <c r="D23" s="423"/>
      <c r="E23" s="423"/>
      <c r="H23" s="423"/>
      <c r="I23" s="423"/>
      <c r="J23" s="423"/>
      <c r="K23" s="423"/>
      <c r="L23" s="6"/>
    </row>
    <row r="24" spans="2:12">
      <c r="B24" s="423"/>
      <c r="C24" s="423"/>
      <c r="D24" s="423"/>
      <c r="E24" s="423"/>
      <c r="L24" s="6"/>
    </row>
    <row r="25" spans="2:12" ht="15" customHeight="1">
      <c r="B25" s="423"/>
      <c r="C25" s="423"/>
      <c r="D25" s="423"/>
      <c r="E25" s="423"/>
      <c r="I25" s="53"/>
      <c r="J25" s="53"/>
      <c r="K25" s="53"/>
      <c r="L25" s="6"/>
    </row>
    <row r="26" spans="2:12" ht="14.25" customHeight="1">
      <c r="B26" s="423"/>
      <c r="C26" s="423"/>
      <c r="D26" s="423"/>
      <c r="E26" s="423"/>
      <c r="H26" s="427" t="s">
        <v>138</v>
      </c>
      <c r="I26" s="427"/>
      <c r="J26" s="427"/>
      <c r="K26" s="427"/>
      <c r="L26" s="6"/>
    </row>
    <row r="27" spans="2:12" ht="15" customHeight="1">
      <c r="B27" s="423"/>
      <c r="C27" s="423"/>
      <c r="D27" s="423"/>
      <c r="E27" s="423"/>
      <c r="H27" s="427"/>
      <c r="I27" s="427"/>
      <c r="J27" s="427"/>
      <c r="K27" s="427"/>
      <c r="L27" s="6"/>
    </row>
    <row r="28" spans="2:12" ht="15" customHeight="1">
      <c r="B28" s="423"/>
      <c r="C28" s="423"/>
      <c r="D28" s="423"/>
      <c r="E28" s="423"/>
      <c r="H28" s="423" t="s">
        <v>235</v>
      </c>
      <c r="I28" s="423"/>
      <c r="J28" s="423"/>
      <c r="K28" s="423"/>
      <c r="L28" s="6"/>
    </row>
    <row r="29" spans="2:12" ht="15" customHeight="1">
      <c r="B29" s="423"/>
      <c r="C29" s="423"/>
      <c r="D29" s="423"/>
      <c r="E29" s="423"/>
      <c r="H29" s="423"/>
      <c r="I29" s="423"/>
      <c r="J29" s="423"/>
      <c r="K29" s="423"/>
      <c r="L29" s="6"/>
    </row>
    <row r="30" spans="2:12" ht="15" customHeight="1">
      <c r="B30" s="423"/>
      <c r="C30" s="423"/>
      <c r="D30" s="423"/>
      <c r="E30" s="423"/>
      <c r="H30" s="423"/>
      <c r="I30" s="423"/>
      <c r="J30" s="423"/>
      <c r="K30" s="423"/>
      <c r="L30" s="6"/>
    </row>
    <row r="31" spans="2:12" ht="15" customHeight="1">
      <c r="B31" s="423"/>
      <c r="C31" s="423"/>
      <c r="D31" s="423"/>
      <c r="E31" s="423"/>
      <c r="H31" s="423"/>
      <c r="I31" s="423"/>
      <c r="J31" s="423"/>
      <c r="K31" s="423"/>
      <c r="L31" s="6"/>
    </row>
    <row r="32" spans="2:12" ht="15" customHeight="1">
      <c r="B32" s="423"/>
      <c r="C32" s="423"/>
      <c r="D32" s="423"/>
      <c r="E32" s="423"/>
      <c r="H32" s="423"/>
      <c r="I32" s="423"/>
      <c r="J32" s="423"/>
      <c r="K32" s="423"/>
      <c r="L32" s="6"/>
    </row>
    <row r="33" spans="1:17" ht="15" customHeight="1">
      <c r="B33" s="423"/>
      <c r="C33" s="423"/>
      <c r="D33" s="423"/>
      <c r="E33" s="423"/>
      <c r="H33" s="423"/>
      <c r="I33" s="423"/>
      <c r="J33" s="423"/>
      <c r="K33" s="423"/>
      <c r="L33" s="6"/>
    </row>
    <row r="34" spans="1:17" ht="15" customHeight="1">
      <c r="B34" s="423"/>
      <c r="C34" s="423"/>
      <c r="D34" s="423"/>
      <c r="E34" s="423"/>
      <c r="H34" s="423"/>
      <c r="I34" s="423"/>
      <c r="J34" s="423"/>
      <c r="K34" s="423"/>
      <c r="L34" s="6"/>
    </row>
    <row r="35" spans="1:17" ht="15" customHeight="1">
      <c r="B35" s="423"/>
      <c r="C35" s="423"/>
      <c r="D35" s="423"/>
      <c r="E35" s="423"/>
      <c r="H35" s="423"/>
      <c r="I35" s="423"/>
      <c r="J35" s="423"/>
      <c r="K35" s="423"/>
    </row>
    <row r="36" spans="1:17" ht="15" customHeight="1">
      <c r="B36" s="423"/>
      <c r="C36" s="423"/>
      <c r="D36" s="423"/>
      <c r="E36" s="423"/>
      <c r="H36" s="423"/>
      <c r="I36" s="423"/>
      <c r="J36" s="423"/>
      <c r="K36" s="423"/>
    </row>
    <row r="37" spans="1:17" ht="15" customHeight="1">
      <c r="B37" s="423"/>
      <c r="C37" s="423"/>
      <c r="D37" s="423"/>
      <c r="E37" s="423"/>
      <c r="H37" s="423"/>
      <c r="I37" s="423"/>
      <c r="J37" s="423"/>
      <c r="K37" s="423"/>
    </row>
    <row r="38" spans="1:17">
      <c r="B38" s="8"/>
      <c r="C38" s="8"/>
      <c r="D38" s="8"/>
      <c r="E38" s="8"/>
      <c r="H38" s="8"/>
      <c r="I38" s="8"/>
      <c r="J38" s="8"/>
      <c r="K38" s="8"/>
    </row>
    <row r="39" spans="1:17">
      <c r="B39" s="8"/>
      <c r="C39" s="8"/>
      <c r="D39" s="8"/>
      <c r="E39" s="8"/>
      <c r="H39" s="8"/>
      <c r="I39" s="8"/>
      <c r="J39" s="8"/>
      <c r="K39" s="8"/>
    </row>
    <row r="41" spans="1:17" ht="15">
      <c r="C41" s="419" t="s">
        <v>137</v>
      </c>
      <c r="D41" s="419"/>
      <c r="E41" s="419"/>
      <c r="F41" s="419"/>
      <c r="G41" s="419"/>
      <c r="H41" s="419"/>
      <c r="I41" s="419"/>
      <c r="J41" s="419"/>
    </row>
    <row r="42" spans="1:17">
      <c r="E42" s="4"/>
      <c r="F42" s="4"/>
      <c r="G42" s="4"/>
      <c r="H42" s="4"/>
    </row>
    <row r="43" spans="1:17">
      <c r="A43" s="94"/>
      <c r="B43" s="94"/>
      <c r="C43" s="94"/>
      <c r="D43" s="94"/>
      <c r="E43" s="94"/>
      <c r="F43" s="95" t="b">
        <v>0</v>
      </c>
      <c r="G43" s="95" t="str">
        <f>F43&amp;"_Europe"</f>
        <v>FALSE_Europe</v>
      </c>
      <c r="I43" s="94" t="str">
        <f>F43&amp;"_ItalyEast"</f>
        <v>FALSE_ItalyEast</v>
      </c>
      <c r="J43" s="94"/>
      <c r="K43" s="94" t="str">
        <f>F43&amp;"_ItalyWest"</f>
        <v>FALSE_ItalyWest</v>
      </c>
      <c r="L43" s="94"/>
      <c r="M43" s="94" t="str">
        <f>F43&amp;"_Iberia"</f>
        <v>FALSE_Iberia</v>
      </c>
      <c r="N43" s="94"/>
      <c r="O43" s="94" t="str">
        <f>F43&amp;"_Morocco"</f>
        <v>FALSE_Morocco</v>
      </c>
      <c r="P43" s="94"/>
      <c r="Q43" s="94" t="str">
        <f>F43&amp;"_Egypt"</f>
        <v>FALSE_Egypt</v>
      </c>
    </row>
    <row r="44" spans="1:17">
      <c r="J44" s="7"/>
    </row>
    <row r="45" spans="1:17" ht="18" customHeight="1"/>
    <row r="46" spans="1:17" ht="18" customHeight="1"/>
    <row r="47" spans="1:17" ht="18" customHeight="1"/>
    <row r="48" spans="1:17" ht="18" customHeight="1"/>
    <row r="49" ht="18" customHeight="1"/>
  </sheetData>
  <mergeCells count="13">
    <mergeCell ref="C41:J41"/>
    <mergeCell ref="B2:K2"/>
    <mergeCell ref="B7:K7"/>
    <mergeCell ref="B8:K8"/>
    <mergeCell ref="B12:E37"/>
    <mergeCell ref="H10:K10"/>
    <mergeCell ref="B6:K6"/>
    <mergeCell ref="B10:E10"/>
    <mergeCell ref="B3:K4"/>
    <mergeCell ref="H28:K37"/>
    <mergeCell ref="H26:K27"/>
    <mergeCell ref="H15:K23"/>
    <mergeCell ref="H13:K14"/>
  </mergeCells>
  <hyperlinks>
    <hyperlink ref="B8:K8" r:id="rId1" location="anchor_otea782d" display="If you're not sure, please click here." xr:uid="{1598A318-EF3B-4929-AD58-4ADFD3DB8577}"/>
  </hyperlink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45" r:id="rId5" name="Check Box 21">
              <controlPr locked="0" defaultSize="0" autoFill="0" autoLine="0" autoPict="0">
                <anchor>
                  <from>
                    <xdr:col>4</xdr:col>
                    <xdr:colOff>866775</xdr:colOff>
                    <xdr:row>41</xdr:row>
                    <xdr:rowOff>28575</xdr:rowOff>
                  </from>
                  <to>
                    <xdr:col>7</xdr:col>
                    <xdr:colOff>685800</xdr:colOff>
                    <xdr:row>44</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5000-464E-4549-9D7F-412A9B2ED079}">
  <sheetPr codeName="Sheet10">
    <tabColor theme="4" tint="0.39997558519241921"/>
  </sheetPr>
  <dimension ref="C1:AC740"/>
  <sheetViews>
    <sheetView showGridLines="0" showRowColHeaders="0" zoomScale="80" zoomScaleNormal="80" workbookViewId="0">
      <selection activeCell="F17" sqref="F17"/>
    </sheetView>
  </sheetViews>
  <sheetFormatPr defaultColWidth="8.85546875" defaultRowHeight="15"/>
  <cols>
    <col min="1" max="1" width="5.28515625" style="165" customWidth="1"/>
    <col min="2" max="2" width="6.5703125" style="165" customWidth="1"/>
    <col min="3" max="3" width="19.28515625" style="165" customWidth="1"/>
    <col min="4" max="4" width="18.85546875" style="165" customWidth="1"/>
    <col min="5" max="5" width="22.28515625" style="165" customWidth="1"/>
    <col min="6" max="6" width="22.85546875" style="165" customWidth="1"/>
    <col min="7" max="7" width="22.28515625" style="165" customWidth="1"/>
    <col min="8" max="8" width="25.7109375" style="165" customWidth="1"/>
    <col min="9" max="9" width="23.42578125" style="165" customWidth="1"/>
    <col min="10" max="21" width="22.28515625" style="165" customWidth="1"/>
    <col min="22" max="22" width="22.28515625" style="165" hidden="1" customWidth="1"/>
    <col min="23" max="23" width="8.85546875" style="165" hidden="1" customWidth="1"/>
    <col min="24" max="24" width="20.42578125" style="165" hidden="1" customWidth="1"/>
    <col min="25" max="28" width="8.85546875" style="165" hidden="1" customWidth="1"/>
    <col min="29" max="31" width="8.85546875" style="165" customWidth="1"/>
    <col min="32" max="16384" width="8.85546875" style="165"/>
  </cols>
  <sheetData>
    <row r="1" spans="3:26" ht="18.75" customHeight="1">
      <c r="C1" s="589" t="s">
        <v>230</v>
      </c>
      <c r="D1" s="589"/>
      <c r="E1" s="589"/>
      <c r="F1" s="589"/>
      <c r="G1" s="589"/>
      <c r="H1" s="589"/>
      <c r="I1" s="589"/>
      <c r="J1" s="589"/>
      <c r="K1" s="589"/>
      <c r="L1" s="589"/>
      <c r="M1" s="589"/>
      <c r="N1" s="589"/>
      <c r="O1" s="589"/>
    </row>
    <row r="2" spans="3:26" ht="18.75" customHeight="1">
      <c r="C2" s="589"/>
      <c r="D2" s="589"/>
      <c r="E2" s="589"/>
      <c r="F2" s="589"/>
      <c r="G2" s="589"/>
      <c r="H2" s="589"/>
      <c r="I2" s="589"/>
      <c r="J2" s="589"/>
      <c r="K2" s="589"/>
      <c r="L2" s="589"/>
      <c r="M2" s="589"/>
      <c r="N2" s="589"/>
      <c r="O2" s="589"/>
    </row>
    <row r="3" spans="3:26" ht="18.75" customHeight="1">
      <c r="C3" s="589"/>
      <c r="D3" s="589"/>
      <c r="E3" s="589"/>
      <c r="F3" s="589"/>
      <c r="G3" s="589"/>
      <c r="H3" s="589"/>
      <c r="I3" s="589"/>
      <c r="J3" s="589"/>
      <c r="K3" s="589"/>
      <c r="L3" s="589"/>
      <c r="M3" s="589"/>
      <c r="N3" s="589"/>
      <c r="O3" s="589"/>
    </row>
    <row r="4" spans="3:26" ht="18.75" customHeight="1">
      <c r="F4" s="590" t="s">
        <v>222</v>
      </c>
      <c r="G4" s="590"/>
      <c r="H4" s="590"/>
      <c r="I4" s="590"/>
      <c r="J4" s="590"/>
      <c r="K4" s="590"/>
      <c r="L4" s="590"/>
    </row>
    <row r="5" spans="3:26" ht="18.75" customHeight="1">
      <c r="F5" s="590"/>
      <c r="G5" s="590"/>
      <c r="H5" s="590"/>
      <c r="I5" s="590"/>
      <c r="J5" s="590"/>
      <c r="K5" s="590"/>
      <c r="L5" s="590"/>
    </row>
    <row r="6" spans="3:26" ht="18.75" customHeight="1">
      <c r="F6" s="179"/>
      <c r="G6" s="179"/>
      <c r="H6" s="179"/>
      <c r="I6" s="179"/>
      <c r="J6" s="179"/>
      <c r="K6" s="179"/>
    </row>
    <row r="7" spans="3:26" ht="18.75" customHeight="1">
      <c r="E7" s="101"/>
      <c r="F7" s="178"/>
      <c r="G7" s="178"/>
      <c r="H7" s="178"/>
      <c r="I7" s="178"/>
      <c r="J7" s="178"/>
      <c r="K7" s="178"/>
      <c r="L7" s="553" t="s">
        <v>249</v>
      </c>
      <c r="M7" s="553"/>
      <c r="N7" s="554">
        <v>1</v>
      </c>
    </row>
    <row r="8" spans="3:26" ht="30" customHeight="1">
      <c r="C8" s="532" t="s">
        <v>147</v>
      </c>
      <c r="D8" s="534" t="s">
        <v>239</v>
      </c>
      <c r="F8" s="548" t="s">
        <v>148</v>
      </c>
      <c r="G8" s="549"/>
      <c r="H8" s="549"/>
      <c r="I8" s="549"/>
      <c r="J8" s="550"/>
      <c r="L8" s="553"/>
      <c r="M8" s="553"/>
      <c r="N8" s="554"/>
    </row>
    <row r="9" spans="3:26" ht="40.5" customHeight="1">
      <c r="C9" s="532"/>
      <c r="D9" s="534"/>
      <c r="F9" s="161" t="s">
        <v>186</v>
      </c>
      <c r="G9" s="213" t="s">
        <v>239</v>
      </c>
      <c r="H9" s="222" t="s">
        <v>166</v>
      </c>
      <c r="I9" s="223" t="str">
        <f>IFERROR(IF($G$29&lt;0,0,$G$29),"Error")</f>
        <v>Error</v>
      </c>
      <c r="J9" s="224" t="str">
        <f>IFERROR($E$28,"not valid")</f>
        <v>not valid</v>
      </c>
    </row>
    <row r="10" spans="3:26" ht="40.5" customHeight="1" thickBot="1">
      <c r="C10" s="533"/>
      <c r="D10" s="535"/>
      <c r="F10" s="161" t="s">
        <v>188</v>
      </c>
      <c r="G10" s="213" t="s">
        <v>239</v>
      </c>
      <c r="H10" s="234" t="s">
        <v>266</v>
      </c>
      <c r="I10" s="228" t="str">
        <f>IFERROR(IF(($G$29-$F$29)&lt;0,0,($G$29-$F$29)),"Error")</f>
        <v>Error</v>
      </c>
      <c r="J10" s="229" t="str">
        <f>IFERROR($E$28,"not valid")</f>
        <v>not valid</v>
      </c>
      <c r="V10" s="165" t="s">
        <v>239</v>
      </c>
      <c r="W10" s="165" t="s">
        <v>239</v>
      </c>
      <c r="X10" s="165" t="s">
        <v>239</v>
      </c>
      <c r="Y10" s="165" t="s">
        <v>239</v>
      </c>
    </row>
    <row r="11" spans="3:26" ht="27.75" customHeight="1">
      <c r="C11" s="539" t="s">
        <v>155</v>
      </c>
      <c r="D11" s="540" t="s">
        <v>239</v>
      </c>
      <c r="F11" s="162" t="s">
        <v>156</v>
      </c>
      <c r="G11" s="163">
        <f>IF(OR(G9="&lt;make selection&gt;",G10="&lt;make selection&gt;"),0,G10-G9+1)</f>
        <v>0</v>
      </c>
      <c r="H11" s="536" t="s">
        <v>263</v>
      </c>
      <c r="I11" s="537"/>
      <c r="J11" s="214">
        <f>IFERROR(J12,0)</f>
        <v>0</v>
      </c>
      <c r="L11" s="591" t="s">
        <v>247</v>
      </c>
      <c r="M11" s="592"/>
      <c r="N11" s="592"/>
      <c r="O11" s="593"/>
      <c r="V11" s="203">
        <v>44927</v>
      </c>
      <c r="W11" s="165" t="s">
        <v>8</v>
      </c>
      <c r="X11" s="165" t="s">
        <v>181</v>
      </c>
      <c r="Y11" s="165" t="s">
        <v>182</v>
      </c>
      <c r="Z11" s="165" t="s">
        <v>183</v>
      </c>
    </row>
    <row r="12" spans="3:26" ht="29.45" customHeight="1">
      <c r="C12" s="532"/>
      <c r="D12" s="534"/>
      <c r="F12" s="101"/>
      <c r="G12" s="101"/>
      <c r="H12" s="551" t="s">
        <v>227</v>
      </c>
      <c r="I12" s="552"/>
      <c r="J12" s="164">
        <f>IFERROR($C$31,0)</f>
        <v>0</v>
      </c>
      <c r="L12" s="594"/>
      <c r="M12" s="595"/>
      <c r="N12" s="595"/>
      <c r="O12" s="596"/>
      <c r="V12" s="203">
        <v>44928</v>
      </c>
      <c r="W12" s="165" t="s">
        <v>55</v>
      </c>
      <c r="X12" s="165" t="s">
        <v>184</v>
      </c>
      <c r="Y12" s="165" t="s">
        <v>182</v>
      </c>
      <c r="Z12" s="165" t="s">
        <v>183</v>
      </c>
    </row>
    <row r="13" spans="3:26" ht="40.5" customHeight="1">
      <c r="C13" s="532"/>
      <c r="D13" s="534"/>
      <c r="F13" s="101"/>
      <c r="G13" s="101"/>
      <c r="H13" s="101"/>
      <c r="I13" s="101"/>
      <c r="J13" s="101"/>
      <c r="L13" s="599" t="s">
        <v>248</v>
      </c>
      <c r="M13" s="600"/>
      <c r="N13" s="587" t="str">
        <f>IFERROR($D$28+$D$34+$D$40,"ERROR")</f>
        <v>ERROR</v>
      </c>
      <c r="O13" s="612" t="str">
        <f>IFERROR($E$28,"not valid")</f>
        <v>not valid</v>
      </c>
      <c r="V13" s="203">
        <v>44929</v>
      </c>
      <c r="W13" s="165" t="s">
        <v>9</v>
      </c>
      <c r="X13" s="165" t="s">
        <v>185</v>
      </c>
      <c r="Y13" s="165" t="s">
        <v>182</v>
      </c>
      <c r="Z13" s="165" t="s">
        <v>183</v>
      </c>
    </row>
    <row r="14" spans="3:26" ht="30" customHeight="1">
      <c r="F14" s="580" t="s">
        <v>194</v>
      </c>
      <c r="G14" s="581"/>
      <c r="H14" s="581"/>
      <c r="I14" s="581"/>
      <c r="J14" s="582"/>
      <c r="L14" s="601"/>
      <c r="M14" s="602"/>
      <c r="N14" s="588"/>
      <c r="O14" s="613"/>
      <c r="V14" s="203">
        <v>44930</v>
      </c>
      <c r="W14" s="165" t="s">
        <v>231</v>
      </c>
      <c r="X14" s="165" t="s">
        <v>187</v>
      </c>
      <c r="Y14" s="165" t="s">
        <v>182</v>
      </c>
      <c r="Z14" s="165" t="s">
        <v>183</v>
      </c>
    </row>
    <row r="15" spans="3:26" ht="40.5" customHeight="1">
      <c r="F15" s="161" t="s">
        <v>186</v>
      </c>
      <c r="G15" s="206" t="str">
        <f>$G$9</f>
        <v>&lt;make selection&gt;</v>
      </c>
      <c r="H15" s="225" t="s">
        <v>238</v>
      </c>
      <c r="I15" s="226" t="str">
        <f>IFERROR(IF($G$35&lt;0,0,$G$35),"Error")</f>
        <v>Error</v>
      </c>
      <c r="J15" s="227" t="str">
        <f>IFERROR($E$28,"not valid")</f>
        <v>not valid</v>
      </c>
      <c r="L15" s="572" t="s">
        <v>253</v>
      </c>
      <c r="M15" s="573"/>
      <c r="N15" s="576" t="str">
        <f>IFERROR(IF(OR($D$29+$D$35+$D$41&gt;N13,$D$29+$D$35+$D$41=N13),"----",$D$29+$D$35+$D$41),"ERROR")</f>
        <v>ERROR</v>
      </c>
      <c r="O15" s="578" t="str">
        <f>IFERROR(IF(N15="----","----",E28),"not valid")</f>
        <v>not valid</v>
      </c>
      <c r="V15" s="203">
        <v>44931</v>
      </c>
      <c r="W15" s="165" t="s">
        <v>10</v>
      </c>
      <c r="X15" s="165" t="s">
        <v>189</v>
      </c>
      <c r="Y15" s="165" t="s">
        <v>190</v>
      </c>
      <c r="Z15" s="165" t="s">
        <v>191</v>
      </c>
    </row>
    <row r="16" spans="3:26" ht="40.5" customHeight="1">
      <c r="F16" s="161" t="s">
        <v>198</v>
      </c>
      <c r="G16" s="213" t="s">
        <v>239</v>
      </c>
      <c r="H16" s="234" t="s">
        <v>267</v>
      </c>
      <c r="I16" s="228" t="str">
        <f>IFERROR(IF(($G$35-$F$35)&lt;0,0,($G$35-$F$35)),"Error")</f>
        <v>Error</v>
      </c>
      <c r="J16" s="229" t="str">
        <f>IFERROR($E$28,"not valid")</f>
        <v>not valid</v>
      </c>
      <c r="L16" s="574" t="str">
        <f>IF(G27-J27&lt;11,"Total cost of detention after "&amp;G27-J27&amp;" days purchase of ADFT total cost:", "Total cost after 10 days purchase of ADFT:")</f>
        <v>Total cost of detention after 0 days purchase of ADFT total cost:</v>
      </c>
      <c r="M16" s="575"/>
      <c r="N16" s="577"/>
      <c r="O16" s="579"/>
      <c r="V16" s="203">
        <v>44932</v>
      </c>
      <c r="W16" s="165" t="s">
        <v>57</v>
      </c>
      <c r="X16" s="165" t="s">
        <v>192</v>
      </c>
      <c r="Y16" s="165" t="s">
        <v>190</v>
      </c>
      <c r="Z16" s="165" t="s">
        <v>191</v>
      </c>
    </row>
    <row r="17" spans="3:26" ht="27.75" customHeight="1" thickBot="1">
      <c r="F17" s="162" t="s">
        <v>202</v>
      </c>
      <c r="G17" s="163">
        <f>IF(OR(G9="&lt;make selection&gt;",G16="&lt;make selection&gt;"),0,G16-G9+1)</f>
        <v>0</v>
      </c>
      <c r="H17" s="536" t="s">
        <v>264</v>
      </c>
      <c r="I17" s="537"/>
      <c r="J17" s="214">
        <f>IFERROR(J18,"not valid")</f>
        <v>0</v>
      </c>
      <c r="L17" s="597" t="str">
        <f>IF(AND(G17-J17&gt;0,G17-J17&lt;11), G17-J17&amp;" days of ADFT cost in case purchasing (max 10 days):", "10 days of ADFT cost in case purchasing (max 10 days):")</f>
        <v>10 days of ADFT cost in case purchasing (max 10 days):</v>
      </c>
      <c r="M17" s="598"/>
      <c r="N17" s="215" t="str">
        <f>IFERROR(N7*IF(RIGHT($D$11,7)="General",
IF(AND($G$17&gt;$J$17,OR($D$11=$W$11,$D$11=$W$12)),
IF($G$17-$J$17&gt;10,
INT(IF($D$11=$W$11,
INDEX('ADFT Tariffs'!G2:G1048576,MATCH("Italy, Spain, Portugal",'ADFT Tariffs'!B2:B1048576,0)),
INDEX('ADFT Tariffs'!H2:H1048576,MATCH("Italy, Spain, Portugal",'ADFT Tariffs'!B2:B1048576,0))))*10,
INT(IF($D$11=$W$11,
INDEX('ADFT Tariffs'!G2:G1048576,MATCH("Italy, Spain, Portugal",'ADFT Tariffs'!B2:B1048576,0)),
INDEX('ADFT Tariffs'!H2:H1048576,MATCH("Italy, Spain, Portugal",'ADFT Tariffs'!B2:B1048576,0))))*($G$17-$J$17)),"0"),
"not valid"),"not valid")</f>
        <v>not valid</v>
      </c>
      <c r="O17" s="216" t="str">
        <f>IFERROR($E$28,"not valid")</f>
        <v>not valid</v>
      </c>
      <c r="V17" s="203">
        <v>44933</v>
      </c>
      <c r="X17" s="165" t="s">
        <v>193</v>
      </c>
      <c r="Y17" s="165" t="s">
        <v>190</v>
      </c>
    </row>
    <row r="18" spans="3:26" ht="29.45" customHeight="1" thickBot="1">
      <c r="F18" s="101"/>
      <c r="G18" s="101"/>
      <c r="H18" s="551" t="s">
        <v>233</v>
      </c>
      <c r="I18" s="552"/>
      <c r="J18" s="164">
        <f>IFERROR($C$37,0)</f>
        <v>0</v>
      </c>
      <c r="L18" s="583" t="s">
        <v>246</v>
      </c>
      <c r="M18" s="584"/>
      <c r="N18" s="210" t="str">
        <f>IFERROR(N20+I22+I10,"not valid")</f>
        <v>not valid</v>
      </c>
      <c r="O18" s="211" t="str">
        <f>IFERROR($E$28,"not valid")</f>
        <v>not valid</v>
      </c>
      <c r="V18" s="203">
        <v>44934</v>
      </c>
      <c r="X18" s="165" t="s">
        <v>195</v>
      </c>
      <c r="Y18" s="165" t="s">
        <v>190</v>
      </c>
    </row>
    <row r="19" spans="3:26" ht="29.45" customHeight="1" thickBot="1">
      <c r="F19" s="101"/>
      <c r="G19" s="101"/>
      <c r="H19" s="101"/>
      <c r="I19" s="101"/>
      <c r="J19" s="101"/>
      <c r="L19" s="616" t="s">
        <v>224</v>
      </c>
      <c r="M19" s="617"/>
      <c r="N19" s="217" t="str">
        <f>IFERROR(N13-N18,"not valid")</f>
        <v>not valid</v>
      </c>
      <c r="O19" s="218" t="str">
        <f>IFERROR($E$28,"not valid")</f>
        <v>not valid</v>
      </c>
      <c r="V19" s="203">
        <v>44935</v>
      </c>
      <c r="X19" s="165" t="s">
        <v>197</v>
      </c>
      <c r="Y19" s="165" t="s">
        <v>190</v>
      </c>
      <c r="Z19" s="165" t="s">
        <v>191</v>
      </c>
    </row>
    <row r="20" spans="3:26" ht="23.45" customHeight="1">
      <c r="F20" s="567" t="s">
        <v>205</v>
      </c>
      <c r="G20" s="567"/>
      <c r="H20" s="567"/>
      <c r="I20" s="567"/>
      <c r="J20" s="567"/>
      <c r="L20" s="531" t="str">
        <f>IF(IFERROR(G29-J29&lt;11,0),"Total cost of detention after "&amp;G29-J29&amp;" days purchase of ADFT total cost:", "Total cost after 10 days purchase of ADFT:")</f>
        <v>Total cost after 10 days purchase of ADFT:</v>
      </c>
      <c r="M20" s="531"/>
      <c r="N20" s="212" t="str">
        <f>IFERROR(D35-I35+N17,"not valid")</f>
        <v>not valid</v>
      </c>
      <c r="O20" s="212" t="str">
        <f>IFERROR($E$28,"not valid")</f>
        <v>not valid</v>
      </c>
      <c r="V20" s="203">
        <v>44936</v>
      </c>
      <c r="X20" s="165" t="s">
        <v>200</v>
      </c>
      <c r="Y20" s="165" t="s">
        <v>190</v>
      </c>
      <c r="Z20" s="165" t="s">
        <v>201</v>
      </c>
    </row>
    <row r="21" spans="3:26" ht="40.5" customHeight="1">
      <c r="F21" s="161" t="s">
        <v>186</v>
      </c>
      <c r="G21" s="206" t="str">
        <f>$G$9</f>
        <v>&lt;make selection&gt;</v>
      </c>
      <c r="H21" s="230" t="s">
        <v>207</v>
      </c>
      <c r="I21" s="231">
        <f>IF($G$41&lt;0,0,$G$41)</f>
        <v>0</v>
      </c>
      <c r="J21" s="232" t="str">
        <f>IFERROR($E$28,"not valid")</f>
        <v>not valid</v>
      </c>
      <c r="L21" s="443" t="str">
        <f>"We recommend you to purchase additional freetime to your booking via below link."</f>
        <v>We recommend you to purchase additional freetime to your booking via below link.</v>
      </c>
      <c r="M21" s="443"/>
      <c r="N21" s="443"/>
      <c r="O21" s="443"/>
      <c r="V21" s="203">
        <v>44937</v>
      </c>
      <c r="X21" s="165" t="s">
        <v>203</v>
      </c>
      <c r="Y21" s="165" t="s">
        <v>190</v>
      </c>
      <c r="Z21" s="165" t="s">
        <v>201</v>
      </c>
    </row>
    <row r="22" spans="3:26" ht="40.5" customHeight="1">
      <c r="F22" s="161" t="s">
        <v>188</v>
      </c>
      <c r="G22" s="206" t="str">
        <f>$G$10</f>
        <v>&lt;make selection&gt;</v>
      </c>
      <c r="H22" s="234" t="s">
        <v>268</v>
      </c>
      <c r="I22" s="228">
        <f>IF(($G$41-$F$41)&lt;0,0,($G$41-$F$41))</f>
        <v>0</v>
      </c>
      <c r="J22" s="229" t="str">
        <f>IFERROR($E$28,"not valid")</f>
        <v>not valid</v>
      </c>
      <c r="L22" s="527" t="str">
        <f>IF(L21="","","https://solutions.hapag-lloyd.com/navigator/#/dashboard")</f>
        <v>https://solutions.hapag-lloyd.com/navigator/#/dashboard</v>
      </c>
      <c r="M22" s="528"/>
      <c r="N22" s="528"/>
      <c r="O22" s="528"/>
      <c r="V22" s="203">
        <v>44938</v>
      </c>
      <c r="X22" s="165" t="s">
        <v>204</v>
      </c>
      <c r="Y22" s="165" t="s">
        <v>182</v>
      </c>
      <c r="Z22" s="165" t="s">
        <v>183</v>
      </c>
    </row>
    <row r="23" spans="3:26" ht="27.75" customHeight="1">
      <c r="F23" s="162" t="s">
        <v>210</v>
      </c>
      <c r="G23" s="163">
        <f>IF(OR(G22="&lt;make selection&gt;",G15="&lt;make selection&gt;"),0,G22-G15+1)</f>
        <v>0</v>
      </c>
      <c r="H23" s="536" t="s">
        <v>265</v>
      </c>
      <c r="I23" s="537"/>
      <c r="J23" s="214">
        <f>IFERROR(J24,"not valid")</f>
        <v>0</v>
      </c>
      <c r="V23" s="203">
        <v>44939</v>
      </c>
      <c r="X23" s="165" t="s">
        <v>206</v>
      </c>
      <c r="Y23" s="165" t="s">
        <v>182</v>
      </c>
      <c r="Z23" s="165" t="s">
        <v>183</v>
      </c>
    </row>
    <row r="24" spans="3:26" ht="29.45" customHeight="1">
      <c r="F24" s="101"/>
      <c r="G24" s="101"/>
      <c r="H24" s="551" t="s">
        <v>232</v>
      </c>
      <c r="I24" s="552"/>
      <c r="J24" s="164">
        <f>IFERROR($C$43,0)</f>
        <v>0</v>
      </c>
      <c r="V24" s="203">
        <v>44940</v>
      </c>
      <c r="X24" s="165" t="s">
        <v>208</v>
      </c>
      <c r="Y24" s="165" t="s">
        <v>190</v>
      </c>
      <c r="Z24" s="165" t="s">
        <v>183</v>
      </c>
    </row>
    <row r="25" spans="3:26" ht="29.45" customHeight="1">
      <c r="C25" s="47" t="s">
        <v>242</v>
      </c>
      <c r="V25" s="203">
        <v>44941</v>
      </c>
      <c r="W25" s="166"/>
      <c r="X25" s="166" t="s">
        <v>209</v>
      </c>
      <c r="Y25" s="166" t="s">
        <v>190</v>
      </c>
      <c r="Z25" s="165" t="s">
        <v>201</v>
      </c>
    </row>
    <row r="26" spans="3:26" ht="29.45" customHeight="1">
      <c r="C26" s="615" t="s">
        <v>244</v>
      </c>
      <c r="D26" s="615"/>
      <c r="E26" s="615"/>
      <c r="F26" s="615"/>
      <c r="G26" s="615"/>
      <c r="V26" s="203">
        <v>44942</v>
      </c>
      <c r="W26" s="166"/>
      <c r="X26" s="166" t="s">
        <v>211</v>
      </c>
      <c r="Y26" s="166" t="s">
        <v>182</v>
      </c>
      <c r="Z26" s="165" t="s">
        <v>183</v>
      </c>
    </row>
    <row r="27" spans="3:26" ht="18.75">
      <c r="C27" s="47" t="s">
        <v>245</v>
      </c>
      <c r="V27" s="203">
        <v>44943</v>
      </c>
      <c r="W27" s="166"/>
      <c r="X27" s="166" t="s">
        <v>212</v>
      </c>
      <c r="Y27" s="166" t="s">
        <v>182</v>
      </c>
      <c r="Z27" s="165" t="s">
        <v>183</v>
      </c>
    </row>
    <row r="28" spans="3:26" ht="23.25" hidden="1" thickBot="1">
      <c r="C28" s="207" t="s">
        <v>166</v>
      </c>
      <c r="D28" s="208" t="e">
        <f>IF($G$29&lt;0,0,$G$29)</f>
        <v>#N/A</v>
      </c>
      <c r="E28" s="169" t="e">
        <f>$E$58</f>
        <v>#N/A</v>
      </c>
      <c r="F28" s="165" t="s">
        <v>16</v>
      </c>
      <c r="G28" s="165" t="s">
        <v>17</v>
      </c>
      <c r="V28" s="203">
        <v>44944</v>
      </c>
      <c r="W28" s="166"/>
      <c r="X28" s="166" t="s">
        <v>213</v>
      </c>
      <c r="Y28" s="166" t="s">
        <v>182</v>
      </c>
      <c r="Z28" s="165" t="s">
        <v>214</v>
      </c>
    </row>
    <row r="29" spans="3:26" ht="23.25" hidden="1" thickBot="1">
      <c r="C29" s="167" t="s">
        <v>167</v>
      </c>
      <c r="D29" s="168" t="e">
        <f>IF(($G$29-$F$29)&lt;0,0,($G$29-$F$29))</f>
        <v>#N/A</v>
      </c>
      <c r="E29" s="169" t="e">
        <f>$E$28</f>
        <v>#N/A</v>
      </c>
      <c r="F29" s="165" t="e">
        <f>IF(IF(($J$11-C31)&lt;=D31,($J$11-C31)*D32,IF(($J$11-C31-D31)&lt;=E31,(($J$11-C31-D31)*E32+D31*D32),IF(($J$11-C31-D31-E31)&lt;=F31,(($J$11-C31-D31-E31)*F32+D31*D32+E31*E32),IF(($J$11-C31-D31-E31-F31)&lt;=G31,(($J$11-C31-D31-E31-F31)*G32+D31*D32+E31*E32+F31*F32),(D31*D32+E31*E32+F31*F32+G31*G32+H32*($J$11-C31-D31-E31-F31-G31))))))&lt;0,0,IF(($J$11-C31)&lt;=D31,($J$11-C31)*D32,IF(($J$11-C31-D31)&lt;=E31,(($J$11-C31-D31)*E32+D31*D32),IF(($J$11-C31-D31-E31)&lt;=F31,(($J$11-C31-D31-E31)*F32+D31*D32+E31*E32),IF(($J$11-C31-D31-E31-F31)&lt;=G31,(($J$11-C31-D31-E31-F31)*G32+D31*D32+E31*E32+F31*F32),(D31*D32+E31*E32+F31*F32+G31*G32+H32*($J$11-C31-D31-E31-F31-G31)))))))</f>
        <v>#N/A</v>
      </c>
      <c r="G29" s="165" t="e">
        <f>IF(($G$11-C31)&lt;=D31,($G$11-C31)*D32,IF(($G$11-C31-D31)&lt;=E31,(($G$11-C31-D31)*E32+D31*D32),IF(($G$11-C31-D31-E31)&lt;=F31,(($G$11-C31-D31-E31)*F32+D31*D32+E31*E32),IF(($G$11-C31-D31-E31-F31)&lt;=G31,(($G$11-C31-D31-E31-F31)*G32+D31*D32+E31*E32+F31*F32),(D31*D32+E31*E32+F31*F32+G31*G32+H32*($G$11-C31-D31-E31-F31-G31))))))</f>
        <v>#N/A</v>
      </c>
      <c r="H29" s="165" t="e">
        <f>G29-F29</f>
        <v>#N/A</v>
      </c>
      <c r="V29" s="203">
        <v>44945</v>
      </c>
      <c r="W29" s="166"/>
      <c r="X29" s="166"/>
      <c r="Y29" s="166"/>
    </row>
    <row r="30" spans="3:26" ht="18.75" hidden="1">
      <c r="C30" s="170" t="s">
        <v>168</v>
      </c>
      <c r="D30" s="170" t="s">
        <v>13</v>
      </c>
      <c r="E30" s="170" t="s">
        <v>14</v>
      </c>
      <c r="F30" s="171" t="s">
        <v>169</v>
      </c>
      <c r="G30" s="172" t="s">
        <v>170</v>
      </c>
      <c r="H30" s="173" t="s">
        <v>171</v>
      </c>
      <c r="V30" s="203">
        <v>44946</v>
      </c>
      <c r="W30" s="166"/>
      <c r="X30" s="166"/>
      <c r="Y30" s="166"/>
    </row>
    <row r="31" spans="3:26" ht="18.75" hidden="1">
      <c r="C31" s="174" t="e">
        <f>INDEX($C$57:$U$62,1,MATCH($D$11,$C$55:$U$55,0))</f>
        <v>#N/A</v>
      </c>
      <c r="D31" s="174" t="e">
        <f>INDEX($C$57:$U$62,2,MATCH($D$11,$C$55:$U$55,0))</f>
        <v>#N/A</v>
      </c>
      <c r="E31" s="174" t="e">
        <f>INDEX($C$57:$U$62,3,MATCH($D$11,$C$55:$U$55,0))</f>
        <v>#N/A</v>
      </c>
      <c r="F31" s="174" t="e">
        <f>INDEX($C$57:$U$62,4,MATCH($D$11,$C$55:$U$55,0))</f>
        <v>#N/A</v>
      </c>
      <c r="G31" s="174" t="e">
        <f>INDEX($C$57:$U$62,5,MATCH($D$11,$C$55:$U$55,0))</f>
        <v>#N/A</v>
      </c>
      <c r="H31" s="174" t="e">
        <f>INDEX($C$57:$U$62,6,MATCH($D$11,$C$55:$U$55,0))</f>
        <v>#N/A</v>
      </c>
      <c r="V31" s="203">
        <v>44947</v>
      </c>
      <c r="W31" s="166"/>
      <c r="X31" s="166"/>
      <c r="Y31" s="166"/>
    </row>
    <row r="32" spans="3:26" ht="18.75" hidden="1">
      <c r="C32" s="174" t="e">
        <f>INDEX($C$57:$U$62,1,MATCH($D$11,$C$55:$U$55,0)+2)</f>
        <v>#N/A</v>
      </c>
      <c r="D32" s="174" t="e">
        <f>INDEX($C$57:$U$62,2,MATCH($D$11,$C$55:$U$55,0)+2)</f>
        <v>#N/A</v>
      </c>
      <c r="E32" s="174" t="e">
        <f>INDEX($C$57:$U$62,3,MATCH($D$11,$C$55:$U$55,0)+2)</f>
        <v>#N/A</v>
      </c>
      <c r="F32" s="174" t="e">
        <f>INDEX($C$57:$U$62,4,MATCH($D$11,$C$55:$U$55,0)+2)</f>
        <v>#N/A</v>
      </c>
      <c r="G32" s="174" t="e">
        <f>INDEX($C$57:$U$62,5,MATCH($D$11,$C$55:$U$55,0)+2)</f>
        <v>#N/A</v>
      </c>
      <c r="H32" s="174" t="e">
        <f>INDEX($C$57:$U$62,6,MATCH($D$11,$C$55:$U$55,0)+2)</f>
        <v>#N/A</v>
      </c>
      <c r="V32" s="203">
        <v>44948</v>
      </c>
      <c r="W32" s="166"/>
      <c r="X32" s="166"/>
      <c r="Y32" s="166"/>
      <c r="Z32" s="166"/>
    </row>
    <row r="33" spans="3:26" ht="19.5" hidden="1" thickBot="1">
      <c r="V33" s="203">
        <v>44949</v>
      </c>
      <c r="W33" s="166"/>
      <c r="X33" s="166"/>
      <c r="Y33" s="166"/>
      <c r="Z33" s="166"/>
    </row>
    <row r="34" spans="3:26" ht="34.5" hidden="1" thickBot="1">
      <c r="C34" s="167" t="s">
        <v>196</v>
      </c>
      <c r="D34" s="168" t="e">
        <f>IF($G$35&lt;0,0,$G$35)</f>
        <v>#N/A</v>
      </c>
      <c r="E34" s="169" t="e">
        <f>$E$51</f>
        <v>#N/A</v>
      </c>
      <c r="F34" s="175"/>
      <c r="G34" s="175"/>
      <c r="H34" s="175"/>
      <c r="I34" s="175"/>
      <c r="J34" s="175"/>
      <c r="K34" s="175"/>
      <c r="V34" s="203">
        <v>44950</v>
      </c>
      <c r="W34" s="166"/>
      <c r="X34" s="166"/>
      <c r="Y34" s="166"/>
      <c r="Z34" s="166"/>
    </row>
    <row r="35" spans="3:26" ht="34.5" hidden="1" thickBot="1">
      <c r="C35" s="167" t="s">
        <v>199</v>
      </c>
      <c r="D35" s="168" t="e">
        <f>IF(($G$35-$F$35)&lt;0,0,($G$35-$F$35))</f>
        <v>#N/A</v>
      </c>
      <c r="E35" s="169" t="e">
        <f>$E$34</f>
        <v>#N/A</v>
      </c>
      <c r="F35" s="165" t="e">
        <f>IF(IF(($J$17-C37)&lt;=D37,($J$17-C37)*D38,IF(($J$17-C37-D37)&lt;=E37,(($J$17-C37-D37)*E38+D37*D38),IF(($J$17-C37-D37-E37)&lt;=F37,(($J$17-C37-D37-E37)*F38+D37*D38+E37*E38),IF(($J$17-C37-D37-E37-F37)&lt;=G37,(($J$17-C37-D37-E37-F37)*G38+D37*D38+E37*E38+F37*F38),(D37*D38+E37*E38+F37*F38+G37*G38+H38*($J$17-C37-D37-E37-F37-G37))))))&lt;0,0,IF(($J$17-C37)&lt;=D37,($J$17-C37)*D38,IF(($J$17-C37-D37)&lt;=E37,(($J$17-C37-D37)*E38+D37*D38),IF(($J$17-C37-D37-E37)&lt;=F37,(($J$17-C37-D37-E37)*F38+D37*D38+E37*E38),IF(($J$17-C37-D37-E37-F37)&lt;=G37,(($J$17-C37-D37-E37-F37)*G38+D37*D38+E37*E38+F37*F38),(D37*D38+E37*E38+F37*F38+G37*G38+H38*($J$17-C37-D37-E37-F37-G37)))))))</f>
        <v>#N/A</v>
      </c>
      <c r="G35" s="165" t="e">
        <f>IF(($G$17-C37)&lt;=D37,($G$17-C37)*D38,IF(($G$17-C37-D37)&lt;=E37,(($G$17-C37-D37)*E38+D37*D38),IF(($G$17-C37-D37-E37)&lt;=F37,(($G$17-C37-D37-E37)*F38+D37*D38+E37*E38),IF(($G$17-C37-D37-E37-F37)&lt;=G37,(($G$17-C37-D37-E37-F37)*G38+D37*D38+E37*E38+F37*F38),(D37*D38+E37*E38+F37*F38+G37*G38+H38*($G$17-C37-D37-E37-F37-G37))))))</f>
        <v>#N/A</v>
      </c>
      <c r="H35" s="165" t="e">
        <f>G35-F35</f>
        <v>#N/A</v>
      </c>
      <c r="I35" s="165" t="e">
        <f>IF((IF($G$17-$J$17&gt;10,10,
IF($G$17-$J$17&lt;0,0,$G$17-$J$17)))&lt;=D37,(IF($G$17-$J$17&gt;10,10,IF($G$17-$J$17&lt;0,0,$G$17-$J$17)))*D38,
IF((IF($G$17-$J$17&gt;10,10,IF($G$17-$J$17&lt;0,0,$G$17-$J$17))-D37)&lt;=E37,((IF($G$17-$J$17&gt;10,10,IF($G$17-$J$17&lt;0,0,$G$17-$J$17))-D37)*E38+D37*D38),
IF((IF($G$17-$J$17&gt;10,10,IF($G$17-$J$17&lt;0,0,$G$17-$J$17))-D37-E37)&lt;=F37,((IF($G$17-$J$17&gt;10,10,IF($G$17-$J$17&lt;0,0,$G$17-$J$17))-D37-E37)*F38+D37*D38+E37*E38),
IF((IF($G$17-$J$17&gt;10,10,IF($G$17-$J$17&lt;0,0,$G$17-$J$17))-D37-E37-F37)&lt;=G37,((IF($G$17-$J$17&gt;10,10,IF($G$17-$J$17&lt;0,0,$G$17-$J$17))-D37-E37-F37)*G38+D37*D38+E37*E38+F37*F38),
(D37*D38+E37*E38+F37*F38+G37*G38+H38*(IF($G$17-$J$17&gt;10,10,IF($G$17-$J$17&lt;0,0,$G$17-$J$17))-D37-E37-F37-G37))))))</f>
        <v>#N/A</v>
      </c>
      <c r="K35" s="175"/>
      <c r="L35" s="175"/>
      <c r="V35" s="203">
        <v>44951</v>
      </c>
      <c r="W35" s="166"/>
      <c r="X35" s="166"/>
      <c r="Y35" s="166"/>
      <c r="Z35" s="166"/>
    </row>
    <row r="36" spans="3:26" hidden="1">
      <c r="C36" s="172" t="s">
        <v>215</v>
      </c>
      <c r="D36" s="173" t="s">
        <v>13</v>
      </c>
      <c r="E36" s="176" t="s">
        <v>14</v>
      </c>
      <c r="F36" s="173" t="s">
        <v>169</v>
      </c>
      <c r="V36" s="203">
        <v>44952</v>
      </c>
    </row>
    <row r="37" spans="3:26" hidden="1">
      <c r="C37" s="170" t="e">
        <f>INDEX($C$50:$U$53,1,MATCH($D$11,$C$48:$U$48,0))</f>
        <v>#N/A</v>
      </c>
      <c r="D37" s="170" t="e">
        <f>INDEX($C$50:$U$53,2,MATCH($D$11,$C$48:$U$48,0))</f>
        <v>#N/A</v>
      </c>
      <c r="E37" s="177" t="e">
        <f>INDEX($C$50:$U$53,3,MATCH($D$11,$C$48:$U$48,0))</f>
        <v>#N/A</v>
      </c>
      <c r="F37" s="173" t="e">
        <f>INDEX($C$50:$U$53,4,MATCH($D$11,$C$48:$U$48,0))</f>
        <v>#N/A</v>
      </c>
      <c r="V37" s="203">
        <v>44953</v>
      </c>
    </row>
    <row r="38" spans="3:26" hidden="1">
      <c r="C38" s="174" t="e" cm="1">
        <f t="array" ref="C38">INDEX($C$50:$U$53,1,MATCH($D$11,$C$48:$U$48,0)+2)</f>
        <v>#N/A</v>
      </c>
      <c r="D38" s="174" t="e" cm="1">
        <f t="array" ref="D38">INDEX($C$50:$U$53,2,MATCH($D$11,$C$48:$U$48,0)+2)</f>
        <v>#N/A</v>
      </c>
      <c r="E38" s="171" t="e" cm="1">
        <f t="array" ref="E38">INDEX($C$50:$U$53,3,MATCH($D$11,$C$48:$U$48,0)+2)</f>
        <v>#N/A</v>
      </c>
      <c r="F38" s="173" t="e" cm="1">
        <f t="array" ref="F38">INDEX($C$50:$U$53,4,MATCH($D$11,$C$48:$U$48,0)+2)</f>
        <v>#N/A</v>
      </c>
      <c r="V38" s="203">
        <v>44954</v>
      </c>
    </row>
    <row r="39" spans="3:26" ht="15.75" hidden="1" thickBot="1">
      <c r="V39" s="203">
        <v>44955</v>
      </c>
    </row>
    <row r="40" spans="3:26" ht="23.25" hidden="1" thickBot="1">
      <c r="C40" s="167" t="s">
        <v>216</v>
      </c>
      <c r="D40" s="168">
        <f>IF($G$41&lt;0,0,$G$41)</f>
        <v>0</v>
      </c>
      <c r="E40" s="169" t="e">
        <f>$E$51</f>
        <v>#N/A</v>
      </c>
      <c r="F40" s="175"/>
      <c r="G40" s="175"/>
      <c r="H40" s="175"/>
      <c r="V40" s="203">
        <v>44956</v>
      </c>
    </row>
    <row r="41" spans="3:26" ht="23.25" hidden="1" thickBot="1">
      <c r="C41" s="167" t="s">
        <v>217</v>
      </c>
      <c r="D41" s="168">
        <f>IF(($G$41-$F$41)&lt;0,0,($G$41-$F$41))</f>
        <v>0</v>
      </c>
      <c r="E41" s="169" t="e">
        <f>$E$34</f>
        <v>#N/A</v>
      </c>
      <c r="F41" s="165">
        <f>IF(IF(($J$23-C43)&lt;=D43,($J$23-C43)*D44,IF(($J$23-C43-D43)&lt;=E43,(($J$23-C43-D43)*E44+D43*D44),IF(($J$23-C43-D43-E43)&lt;=F43,(($J$23-C43-D43-E43)*F44+D43*D44+E43*E44),IF(($J$23-C43-D43-E43-F43)&lt;=G43,(($J$23-C43-D43-E43-F43)*G44+D43*D44+E43*E44+F43*F44),(D43*D44+E43*E44+F43*F44+G43*G44+H44*($J$23-C43-D43-E43-F43-G43))))))&lt;0,0,IF(($J$23-C43)&lt;=D43,($J$23-C43)*D44,IF(($J$23-C43-D43)&lt;=E43,(($J$23-C43-D43)*E44+D43*D44),IF(($J$23-C43-D43-E43)&lt;=F43,(($J$23-C43-D43-E43)*F44+D43*D44+E43*E44),IF(($J$23-C43-D43-E43-F43)&lt;=G43,(($J$23-C43-D43-E43-F43)*G44+D43*D44+E43*E44+F43*F44),(D43*D44+E43*E44+F43*F44+G43*G44+H44*($J$23-C43-D43-E43-F43-G43)))))))</f>
        <v>0</v>
      </c>
      <c r="G41" s="165">
        <f>IF(($G$23-C43)&lt;=D43,($G$23-C43)*D44,IF(($G$23-C43-D43)&lt;=E43,(($G$23-C43-D43)*E44+D43*D44),IF(($G$23-C43-D43-E43)&lt;=F43,(($G$23-C43-D43-E43)*F44+D43*D44+E43*E44),IF(($G$23-C43-D43-E43-F43)&lt;=G43,(($G$23-C43-D43-E43-F43)*G44+D43*D44+E43*E44+F43*F44),(D43*D44+E43*E44+F43*F44+G43*G44+H44*($G$23-C43-D43-E43-F43-G43))))))</f>
        <v>0</v>
      </c>
      <c r="H41" s="165">
        <f>G41-F41</f>
        <v>0</v>
      </c>
      <c r="V41" s="203">
        <v>44957</v>
      </c>
    </row>
    <row r="42" spans="3:26" hidden="1">
      <c r="C42" s="172" t="s">
        <v>218</v>
      </c>
      <c r="D42" s="173" t="s">
        <v>13</v>
      </c>
      <c r="E42" s="176" t="s">
        <v>14</v>
      </c>
      <c r="F42" s="173" t="s">
        <v>169</v>
      </c>
      <c r="V42" s="203">
        <v>44958</v>
      </c>
    </row>
    <row r="43" spans="3:26" hidden="1">
      <c r="C43" s="170">
        <f>IFERROR(INDEX($C$66:$U$67,1,MATCH($D$11,$C$64:$U$64,0)),0)</f>
        <v>0</v>
      </c>
      <c r="D43" s="170">
        <f>IFERROR(INDEX($C$66:$U$67,2,MATCH($D$11,$C$64:$U$64,0)),0)</f>
        <v>0</v>
      </c>
      <c r="E43" s="170">
        <f>IFERROR(INDEX($C$66:$U$67,3,MATCH($D$11,$C$64:$U$64,0)),0)</f>
        <v>0</v>
      </c>
      <c r="F43" s="170">
        <f>IFERROR(INDEX($C$66:$U$67,4,MATCH($D$11,$C$64:$U$64,0)),0)</f>
        <v>0</v>
      </c>
      <c r="V43" s="203">
        <v>44959</v>
      </c>
    </row>
    <row r="44" spans="3:26" hidden="1">
      <c r="C44" s="170" cm="1">
        <f t="array" ref="C44">IFERROR(INDEX($C$66:$U$67,1,MATCH($D$11,$C$64:$U$64,0)+2),0)</f>
        <v>0</v>
      </c>
      <c r="D44" s="170" cm="1">
        <f t="array" ref="D44">IFERROR(INDEX($C$66:$U$67,2,MATCH($D$11,$C$64:$U$64,0)+2),0)</f>
        <v>0</v>
      </c>
      <c r="E44" s="170" cm="1">
        <f t="array" ref="E44">IFERROR(INDEX($C$66:$U$67,3,MATCH($D$11,$C$64:$U$64,0)+2),0)</f>
        <v>0</v>
      </c>
      <c r="F44" s="170" cm="1">
        <f t="array" ref="F44">IFERROR(INDEX($C$66:$U$67,4,MATCH($D$11,$C$64:$U$64,0)+2),0)</f>
        <v>0</v>
      </c>
      <c r="V44" s="203">
        <v>44960</v>
      </c>
    </row>
    <row r="45" spans="3:26">
      <c r="V45" s="203">
        <v>44961</v>
      </c>
    </row>
    <row r="46" spans="3:26" ht="22.9" customHeight="1">
      <c r="C46" s="614" t="e">
        <f>VLOOKUP($D$8,$X$11:$Y$35,2,0) &amp;" &amp; " &amp; D8 &amp; " Port - Storage Costs"</f>
        <v>#N/A</v>
      </c>
      <c r="D46" s="614"/>
      <c r="E46" s="614"/>
      <c r="F46" s="614"/>
      <c r="G46" s="614"/>
      <c r="H46" s="614"/>
      <c r="I46" s="614"/>
      <c r="J46" s="614"/>
      <c r="K46" s="614"/>
      <c r="L46" s="614"/>
      <c r="M46" s="614"/>
      <c r="N46" s="614"/>
      <c r="O46" s="614"/>
      <c r="P46" s="614"/>
      <c r="Q46" s="614"/>
      <c r="R46" s="614"/>
      <c r="S46" s="614"/>
      <c r="T46" s="614"/>
      <c r="U46" s="614"/>
      <c r="V46" s="203">
        <v>44962</v>
      </c>
    </row>
    <row r="47" spans="3:26" ht="15" customHeight="1" thickBot="1">
      <c r="V47" s="203">
        <v>44963</v>
      </c>
    </row>
    <row r="48" spans="3:26" ht="30.6" customHeight="1">
      <c r="C48" s="188" t="e">
        <f>VLOOKUP($D$8,$X$11:$Y$35,2,0)</f>
        <v>#N/A</v>
      </c>
      <c r="D48" s="189" t="s">
        <v>8</v>
      </c>
      <c r="E48" s="190" t="s">
        <v>8</v>
      </c>
      <c r="F48" s="189" t="s">
        <v>8</v>
      </c>
      <c r="G48" s="189" t="s">
        <v>55</v>
      </c>
      <c r="H48" s="190" t="s">
        <v>55</v>
      </c>
      <c r="I48" s="189" t="s">
        <v>55</v>
      </c>
      <c r="J48" s="189" t="s">
        <v>9</v>
      </c>
      <c r="K48" s="190" t="s">
        <v>9</v>
      </c>
      <c r="L48" s="189" t="s">
        <v>9</v>
      </c>
      <c r="M48" s="189" t="s">
        <v>231</v>
      </c>
      <c r="N48" s="190" t="s">
        <v>231</v>
      </c>
      <c r="O48" s="189" t="s">
        <v>231</v>
      </c>
      <c r="P48" s="189" t="s">
        <v>10</v>
      </c>
      <c r="Q48" s="190" t="s">
        <v>10</v>
      </c>
      <c r="R48" s="189" t="s">
        <v>10</v>
      </c>
      <c r="S48" s="189" t="s">
        <v>57</v>
      </c>
      <c r="T48" s="190" t="s">
        <v>57</v>
      </c>
      <c r="U48" s="191" t="s">
        <v>57</v>
      </c>
      <c r="V48" s="203">
        <v>44964</v>
      </c>
    </row>
    <row r="49" spans="3:22" ht="18">
      <c r="C49" s="192" t="s">
        <v>179</v>
      </c>
      <c r="D49" s="180" t="s">
        <v>2</v>
      </c>
      <c r="E49" s="180" t="s">
        <v>3</v>
      </c>
      <c r="F49" s="180" t="s">
        <v>4</v>
      </c>
      <c r="G49" s="180" t="s">
        <v>2</v>
      </c>
      <c r="H49" s="180" t="s">
        <v>3</v>
      </c>
      <c r="I49" s="180" t="s">
        <v>4</v>
      </c>
      <c r="J49" s="180" t="s">
        <v>2</v>
      </c>
      <c r="K49" s="180" t="s">
        <v>3</v>
      </c>
      <c r="L49" s="180" t="s">
        <v>4</v>
      </c>
      <c r="M49" s="180" t="s">
        <v>2</v>
      </c>
      <c r="N49" s="180" t="s">
        <v>3</v>
      </c>
      <c r="O49" s="180" t="s">
        <v>4</v>
      </c>
      <c r="P49" s="180" t="s">
        <v>2</v>
      </c>
      <c r="Q49" s="180" t="s">
        <v>3</v>
      </c>
      <c r="R49" s="180" t="s">
        <v>4</v>
      </c>
      <c r="S49" s="180" t="s">
        <v>2</v>
      </c>
      <c r="T49" s="180" t="s">
        <v>3</v>
      </c>
      <c r="U49" s="193" t="s">
        <v>4</v>
      </c>
      <c r="V49" s="203">
        <v>44965</v>
      </c>
    </row>
    <row r="50" spans="3:22" ht="18">
      <c r="C50" s="200" t="s">
        <v>1</v>
      </c>
      <c r="D50" s="181" t="e">
        <f>INDEX('Storage Tariffs (Iberia)'!$A$1:$T$217,MATCH($C$48,'Storage Tariffs (Iberia)'!$A$1:$A$217,0),D$63)</f>
        <v>#N/A</v>
      </c>
      <c r="E50" s="181" t="e">
        <f>INDEX('Storage Tariffs (Iberia)'!$A$1:$T$217,MATCH($C$48,'Storage Tariffs (Iberia)'!$A$1:$A$217,0),E$63)</f>
        <v>#N/A</v>
      </c>
      <c r="F50" s="181" t="e">
        <f>INDEX('Storage Tariffs (Iberia)'!$A$1:$T$217,MATCH($C$48,'Storage Tariffs (Iberia)'!$A$1:$A$217,0),F$63)</f>
        <v>#N/A</v>
      </c>
      <c r="G50" s="181" t="e">
        <f>INDEX('Storage Tariffs (Iberia)'!$A$1:$T$217,MATCH($C$48,'Storage Tariffs (Iberia)'!$A$1:$A$217,0),G$63)</f>
        <v>#N/A</v>
      </c>
      <c r="H50" s="181" t="e">
        <f>INDEX('Storage Tariffs (Iberia)'!$A$1:$T$217,MATCH($C$48,'Storage Tariffs (Iberia)'!$A$1:$A$217,0),H$63)</f>
        <v>#N/A</v>
      </c>
      <c r="I50" s="181" t="e">
        <f>INDEX('Storage Tariffs (Iberia)'!$A$1:$T$217,MATCH($C$48,'Storage Tariffs (Iberia)'!$A$1:$A$217,0),I$63)</f>
        <v>#N/A</v>
      </c>
      <c r="J50" s="181" t="e">
        <f>INDEX('Storage Tariffs (Iberia)'!$A$1:$T$217,MATCH($C$48,'Storage Tariffs (Iberia)'!$A$1:$A$217,0),J$63)</f>
        <v>#N/A</v>
      </c>
      <c r="K50" s="181" t="e">
        <f>INDEX('Storage Tariffs (Iberia)'!$A$1:$T$217,MATCH($C$48,'Storage Tariffs (Iberia)'!$A$1:$A$217,0),K$63)</f>
        <v>#N/A</v>
      </c>
      <c r="L50" s="181" t="e">
        <f>INDEX('Storage Tariffs (Iberia)'!$A$1:$T$217,MATCH($C$48,'Storage Tariffs (Iberia)'!$A$1:$A$217,0),L$63)</f>
        <v>#N/A</v>
      </c>
      <c r="M50" s="181" t="e">
        <f>INDEX('Storage Tariffs (Iberia)'!$A$1:$T$217,MATCH($C$48,'Storage Tariffs (Iberia)'!$A$1:$A$217,0),M$63)</f>
        <v>#N/A</v>
      </c>
      <c r="N50" s="181" t="e">
        <f>INDEX('Storage Tariffs (Iberia)'!$A$1:$T$217,MATCH($C$48,'Storage Tariffs (Iberia)'!$A$1:$A$217,0),N$63)</f>
        <v>#N/A</v>
      </c>
      <c r="O50" s="181" t="e">
        <f>INDEX('Storage Tariffs (Iberia)'!$A$1:$T$217,MATCH($C$48,'Storage Tariffs (Iberia)'!$A$1:$A$217,0),O$63)</f>
        <v>#N/A</v>
      </c>
      <c r="P50" s="181" t="e">
        <f>INDEX('Storage Tariffs (Iberia)'!$A$1:$T$217,MATCH($C$48,'Storage Tariffs (Iberia)'!$A$1:$A$217,0),P$63)</f>
        <v>#N/A</v>
      </c>
      <c r="Q50" s="181" t="e">
        <f>INDEX('Storage Tariffs (Iberia)'!$A$1:$T$217,MATCH($C$48,'Storage Tariffs (Iberia)'!$A$1:$A$217,0),Q$63)</f>
        <v>#N/A</v>
      </c>
      <c r="R50" s="181" t="e">
        <f>INDEX('Storage Tariffs (Iberia)'!$A$1:$T$217,MATCH($C$48,'Storage Tariffs (Iberia)'!$A$1:$A$217,0),R$63)</f>
        <v>#N/A</v>
      </c>
      <c r="S50" s="181" t="e">
        <f>INDEX('Storage Tariffs (Iberia)'!$A$1:$T$217,MATCH($C$48,'Storage Tariffs (Iberia)'!$A$1:$A$217,0),S$63)</f>
        <v>#N/A</v>
      </c>
      <c r="T50" s="181" t="e">
        <f>INDEX('Storage Tariffs (Iberia)'!$A$1:$T$217,MATCH($C$48,'Storage Tariffs (Iberia)'!$A$1:$A$217,0),T$63)</f>
        <v>#N/A</v>
      </c>
      <c r="U50" s="195" t="e">
        <f>INDEX('Storage Tariffs (Iberia)'!$A$1:$T$217,MATCH($C$48,'Storage Tariffs (Iberia)'!$A$1:$A$217,0),U$63)</f>
        <v>#N/A</v>
      </c>
      <c r="V50" s="203">
        <v>44966</v>
      </c>
    </row>
    <row r="51" spans="3:22" ht="18">
      <c r="C51" s="200" t="s">
        <v>5</v>
      </c>
      <c r="D51" s="181" t="e">
        <f>INDEX('Storage Tariffs (Iberia)'!$A$1:$T$217,MATCH($C$48,'Storage Tariffs (Iberia)'!$A$1:$A$217,0)+1,D$63)</f>
        <v>#N/A</v>
      </c>
      <c r="E51" s="181" t="e">
        <f>INDEX('Storage Tariffs (Iberia)'!$A$1:$T$217,MATCH($C$48,'Storage Tariffs (Iberia)'!$A$1:$A$217,0)+1,E$63)</f>
        <v>#N/A</v>
      </c>
      <c r="F51" s="181" t="e">
        <f>INDEX('Storage Tariffs (Iberia)'!$A$1:$T$217,MATCH($C$48,'Storage Tariffs (Iberia)'!$A$1:$A$217,0)+1,F$63)</f>
        <v>#N/A</v>
      </c>
      <c r="G51" s="181" t="e">
        <f>INDEX('Storage Tariffs (Iberia)'!$A$1:$T$217,MATCH($C$48,'Storage Tariffs (Iberia)'!$A$1:$A$217,0)+1,G$63)</f>
        <v>#N/A</v>
      </c>
      <c r="H51" s="181" t="e">
        <f>INDEX('Storage Tariffs (Iberia)'!$A$1:$T$217,MATCH($C$48,'Storage Tariffs (Iberia)'!$A$1:$A$217,0)+1,H$63)</f>
        <v>#N/A</v>
      </c>
      <c r="I51" s="181" t="e">
        <f>INDEX('Storage Tariffs (Iberia)'!$A$1:$T$217,MATCH($C$48,'Storage Tariffs (Iberia)'!$A$1:$A$217,0)+1,I$63)</f>
        <v>#N/A</v>
      </c>
      <c r="J51" s="181" t="e">
        <f>INDEX('Storage Tariffs (Iberia)'!$A$1:$T$217,MATCH($C$48,'Storage Tariffs (Iberia)'!$A$1:$A$217,0)+1,J$63)</f>
        <v>#N/A</v>
      </c>
      <c r="K51" s="181" t="e">
        <f>INDEX('Storage Tariffs (Iberia)'!$A$1:$T$217,MATCH($C$48,'Storage Tariffs (Iberia)'!$A$1:$A$217,0)+1,K$63)</f>
        <v>#N/A</v>
      </c>
      <c r="L51" s="181" t="e">
        <f>INDEX('Storage Tariffs (Iberia)'!$A$1:$T$217,MATCH($C$48,'Storage Tariffs (Iberia)'!$A$1:$A$217,0)+1,L$63)</f>
        <v>#N/A</v>
      </c>
      <c r="M51" s="181" t="e">
        <f>INDEX('Storage Tariffs (Iberia)'!$A$1:$T$217,MATCH($C$48,'Storage Tariffs (Iberia)'!$A$1:$A$217,0)+1,M$63)</f>
        <v>#N/A</v>
      </c>
      <c r="N51" s="181" t="e">
        <f>INDEX('Storage Tariffs (Iberia)'!$A$1:$T$217,MATCH($C$48,'Storage Tariffs (Iberia)'!$A$1:$A$217,0)+1,N$63)</f>
        <v>#N/A</v>
      </c>
      <c r="O51" s="181" t="e">
        <f>INDEX('Storage Tariffs (Iberia)'!$A$1:$T$217,MATCH($C$48,'Storage Tariffs (Iberia)'!$A$1:$A$217,0)+1,O$63)</f>
        <v>#N/A</v>
      </c>
      <c r="P51" s="181" t="e">
        <f>INDEX('Storage Tariffs (Iberia)'!$A$1:$T$217,MATCH($C$48,'Storage Tariffs (Iberia)'!$A$1:$A$217,0)+1,P$63)</f>
        <v>#N/A</v>
      </c>
      <c r="Q51" s="181" t="e">
        <f>INDEX('Storage Tariffs (Iberia)'!$A$1:$T$217,MATCH($C$48,'Storage Tariffs (Iberia)'!$A$1:$A$217,0)+1,Q$63)</f>
        <v>#N/A</v>
      </c>
      <c r="R51" s="181" t="e">
        <f>INDEX('Storage Tariffs (Iberia)'!$A$1:$T$217,MATCH($C$48,'Storage Tariffs (Iberia)'!$A$1:$A$217,0)+1,R$63)</f>
        <v>#N/A</v>
      </c>
      <c r="S51" s="181" t="e">
        <f>INDEX('Storage Tariffs (Iberia)'!$A$1:$T$217,MATCH($C$48,'Storage Tariffs (Iberia)'!$A$1:$A$217,0)+1,S$63)</f>
        <v>#N/A</v>
      </c>
      <c r="T51" s="181" t="e">
        <f>INDEX('Storage Tariffs (Iberia)'!$A$1:$T$217,MATCH($C$48,'Storage Tariffs (Iberia)'!$A$1:$A$217,0)+1,T$63)</f>
        <v>#N/A</v>
      </c>
      <c r="U51" s="195" t="e">
        <f>INDEX('Storage Tariffs (Iberia)'!$A$1:$T$217,MATCH($C$48,'Storage Tariffs (Iberia)'!$A$1:$A$217,0)+1,U$63)</f>
        <v>#N/A</v>
      </c>
      <c r="V51" s="203">
        <v>44967</v>
      </c>
    </row>
    <row r="52" spans="3:22" ht="18">
      <c r="C52" s="194" t="s">
        <v>7</v>
      </c>
      <c r="D52" s="181" t="e">
        <f>INDEX('Storage Tariffs (Iberia)'!$A$1:$T$217,MATCH($C$48,'Storage Tariffs (Iberia)'!$A$1:$A$217,0)+2,D$63)</f>
        <v>#N/A</v>
      </c>
      <c r="E52" s="181" t="e">
        <f>INDEX('Storage Tariffs (Iberia)'!$A$1:$T$217,MATCH($C$48,'Storage Tariffs (Iberia)'!$A$1:$A$217,0)+2,E$63)</f>
        <v>#N/A</v>
      </c>
      <c r="F52" s="181" t="e">
        <f>INDEX('Storage Tariffs (Iberia)'!$A$1:$T$217,MATCH($C$48,'Storage Tariffs (Iberia)'!$A$1:$A$217,0)+2,F$63)</f>
        <v>#N/A</v>
      </c>
      <c r="G52" s="181" t="e">
        <f>INDEX('Storage Tariffs (Iberia)'!$A$1:$T$217,MATCH($C$48,'Storage Tariffs (Iberia)'!$A$1:$A$217,0)+2,G$63)</f>
        <v>#N/A</v>
      </c>
      <c r="H52" s="181" t="e">
        <f>INDEX('Storage Tariffs (Iberia)'!$A$1:$T$217,MATCH($C$48,'Storage Tariffs (Iberia)'!$A$1:$A$217,0)+2,H$63)</f>
        <v>#N/A</v>
      </c>
      <c r="I52" s="181" t="e">
        <f>INDEX('Storage Tariffs (Iberia)'!$A$1:$T$217,MATCH($C$48,'Storage Tariffs (Iberia)'!$A$1:$A$217,0)+2,I$63)</f>
        <v>#N/A</v>
      </c>
      <c r="J52" s="181" t="e">
        <f>INDEX('Storage Tariffs (Iberia)'!$A$1:$T$217,MATCH($C$48,'Storage Tariffs (Iberia)'!$A$1:$A$217,0)+2,J$63)</f>
        <v>#N/A</v>
      </c>
      <c r="K52" s="181" t="e">
        <f>INDEX('Storage Tariffs (Iberia)'!$A$1:$T$217,MATCH($C$48,'Storage Tariffs (Iberia)'!$A$1:$A$217,0)+2,K$63)</f>
        <v>#N/A</v>
      </c>
      <c r="L52" s="181" t="e">
        <f>INDEX('Storage Tariffs (Iberia)'!$A$1:$T$217,MATCH($C$48,'Storage Tariffs (Iberia)'!$A$1:$A$217,0)+2,L$63)</f>
        <v>#N/A</v>
      </c>
      <c r="M52" s="181" t="e">
        <f>INDEX('Storage Tariffs (Iberia)'!$A$1:$T$217,MATCH($C$48,'Storage Tariffs (Iberia)'!$A$1:$A$217,0)+2,M$63)</f>
        <v>#N/A</v>
      </c>
      <c r="N52" s="181" t="e">
        <f>INDEX('Storage Tariffs (Iberia)'!$A$1:$T$217,MATCH($C$48,'Storage Tariffs (Iberia)'!$A$1:$A$217,0)+2,N$63)</f>
        <v>#N/A</v>
      </c>
      <c r="O52" s="181" t="e">
        <f>INDEX('Storage Tariffs (Iberia)'!$A$1:$T$217,MATCH($C$48,'Storage Tariffs (Iberia)'!$A$1:$A$217,0)+2,O$63)</f>
        <v>#N/A</v>
      </c>
      <c r="P52" s="181" t="e">
        <f>INDEX('Storage Tariffs (Iberia)'!$A$1:$T$217,MATCH($C$48,'Storage Tariffs (Iberia)'!$A$1:$A$217,0)+2,P$63)</f>
        <v>#N/A</v>
      </c>
      <c r="Q52" s="181" t="e">
        <f>INDEX('Storage Tariffs (Iberia)'!$A$1:$T$217,MATCH($C$48,'Storage Tariffs (Iberia)'!$A$1:$A$217,0)+2,Q$63)</f>
        <v>#N/A</v>
      </c>
      <c r="R52" s="181" t="e">
        <f>INDEX('Storage Tariffs (Iberia)'!$A$1:$T$217,MATCH($C$48,'Storage Tariffs (Iberia)'!$A$1:$A$217,0)+2,R$63)</f>
        <v>#N/A</v>
      </c>
      <c r="S52" s="181" t="e">
        <f>INDEX('Storage Tariffs (Iberia)'!$A$1:$T$217,MATCH($C$48,'Storage Tariffs (Iberia)'!$A$1:$A$217,0)+2,S$63)</f>
        <v>#N/A</v>
      </c>
      <c r="T52" s="181" t="e">
        <f>INDEX('Storage Tariffs (Iberia)'!$A$1:$T$217,MATCH($C$48,'Storage Tariffs (Iberia)'!$A$1:$A$217,0)+2,T$63)</f>
        <v>#N/A</v>
      </c>
      <c r="U52" s="195" t="e">
        <f>INDEX('Storage Tariffs (Iberia)'!$A$1:$T$217,MATCH($C$48,'Storage Tariffs (Iberia)'!$A$1:$A$217,0)+2,U$63)</f>
        <v>#N/A</v>
      </c>
      <c r="V52" s="203">
        <v>44968</v>
      </c>
    </row>
    <row r="53" spans="3:22" ht="18.75" thickBot="1">
      <c r="C53" s="202" t="s">
        <v>0</v>
      </c>
      <c r="D53" s="198" t="e">
        <f>INDEX('Storage Tariffs (Iberia)'!$A$1:$T$217,MATCH($C$48,'Storage Tariffs (Iberia)'!$A$1:$A$217,0)+3,D$63)</f>
        <v>#N/A</v>
      </c>
      <c r="E53" s="198" t="e">
        <f>INDEX('Storage Tariffs (Iberia)'!$A$1:$T$217,MATCH($C$48,'Storage Tariffs (Iberia)'!$A$1:$A$217,0)+3,E$63)</f>
        <v>#N/A</v>
      </c>
      <c r="F53" s="198" t="e">
        <f>INDEX('Storage Tariffs (Iberia)'!$A$1:$T$217,MATCH($C$48,'Storage Tariffs (Iberia)'!$A$1:$A$217,0)+3,F$63)</f>
        <v>#N/A</v>
      </c>
      <c r="G53" s="198" t="e">
        <f>INDEX('Storage Tariffs (Iberia)'!$A$1:$T$217,MATCH($C$48,'Storage Tariffs (Iberia)'!$A$1:$A$217,0)+3,G$63)</f>
        <v>#N/A</v>
      </c>
      <c r="H53" s="198" t="e">
        <f>INDEX('Storage Tariffs (Iberia)'!$A$1:$T$217,MATCH($C$48,'Storage Tariffs (Iberia)'!$A$1:$A$217,0)+3,H$63)</f>
        <v>#N/A</v>
      </c>
      <c r="I53" s="198" t="e">
        <f>INDEX('Storage Tariffs (Iberia)'!$A$1:$T$217,MATCH($C$48,'Storage Tariffs (Iberia)'!$A$1:$A$217,0)+3,I$63)</f>
        <v>#N/A</v>
      </c>
      <c r="J53" s="198" t="e">
        <f>INDEX('Storage Tariffs (Iberia)'!$A$1:$T$217,MATCH($C$48,'Storage Tariffs (Iberia)'!$A$1:$A$217,0)+3,J$63)</f>
        <v>#N/A</v>
      </c>
      <c r="K53" s="198" t="e">
        <f>INDEX('Storage Tariffs (Iberia)'!$A$1:$T$217,MATCH($C$48,'Storage Tariffs (Iberia)'!$A$1:$A$217,0)+3,K$63)</f>
        <v>#N/A</v>
      </c>
      <c r="L53" s="198" t="e">
        <f>INDEX('Storage Tariffs (Iberia)'!$A$1:$T$217,MATCH($C$48,'Storage Tariffs (Iberia)'!$A$1:$A$217,0)+3,L$63)</f>
        <v>#N/A</v>
      </c>
      <c r="M53" s="198" t="e">
        <f>INDEX('Storage Tariffs (Iberia)'!$A$1:$T$217,MATCH($C$48,'Storage Tariffs (Iberia)'!$A$1:$A$217,0)+3,M$63)</f>
        <v>#N/A</v>
      </c>
      <c r="N53" s="198" t="e">
        <f>INDEX('Storage Tariffs (Iberia)'!$A$1:$T$217,MATCH($C$48,'Storage Tariffs (Iberia)'!$A$1:$A$217,0)+3,N$63)</f>
        <v>#N/A</v>
      </c>
      <c r="O53" s="198" t="e">
        <f>INDEX('Storage Tariffs (Iberia)'!$A$1:$T$217,MATCH($C$48,'Storage Tariffs (Iberia)'!$A$1:$A$217,0)+3,O$63)</f>
        <v>#N/A</v>
      </c>
      <c r="P53" s="198" t="e">
        <f>INDEX('Storage Tariffs (Iberia)'!$A$1:$T$217,MATCH($C$48,'Storage Tariffs (Iberia)'!$A$1:$A$217,0)+3,P$63)</f>
        <v>#N/A</v>
      </c>
      <c r="Q53" s="198" t="e">
        <f>INDEX('Storage Tariffs (Iberia)'!$A$1:$T$217,MATCH($C$48,'Storage Tariffs (Iberia)'!$A$1:$A$217,0)+3,Q$63)</f>
        <v>#N/A</v>
      </c>
      <c r="R53" s="198" t="e">
        <f>INDEX('Storage Tariffs (Iberia)'!$A$1:$T$217,MATCH($C$48,'Storage Tariffs (Iberia)'!$A$1:$A$217,0)+3,R$63)</f>
        <v>#N/A</v>
      </c>
      <c r="S53" s="198" t="e">
        <f>INDEX('Storage Tariffs (Iberia)'!$A$1:$T$217,MATCH($C$48,'Storage Tariffs (Iberia)'!$A$1:$A$217,0)+3,S$63)</f>
        <v>#N/A</v>
      </c>
      <c r="T53" s="198" t="e">
        <f>INDEX('Storage Tariffs (Iberia)'!$A$1:$T$217,MATCH($C$48,'Storage Tariffs (Iberia)'!$A$1:$A$217,0)+3,T$63)</f>
        <v>#N/A</v>
      </c>
      <c r="U53" s="199" t="e">
        <f>INDEX('Storage Tariffs (Iberia)'!$A$1:$T$217,MATCH($C$48,'Storage Tariffs (Iberia)'!$A$1:$A$217,0)+3,U$63)</f>
        <v>#N/A</v>
      </c>
      <c r="V53" s="203">
        <v>44969</v>
      </c>
    </row>
    <row r="54" spans="3:22" ht="15.75" thickBot="1">
      <c r="V54" s="203">
        <v>44970</v>
      </c>
    </row>
    <row r="55" spans="3:22" ht="30.6" customHeight="1">
      <c r="C55" s="188" t="str">
        <f>"Storage Costs for "&amp;CHAR(10) &amp; D8</f>
        <v>Storage Costs for 
&lt;make selection&gt;</v>
      </c>
      <c r="D55" s="189" t="s">
        <v>8</v>
      </c>
      <c r="E55" s="190" t="s">
        <v>8</v>
      </c>
      <c r="F55" s="189" t="s">
        <v>8</v>
      </c>
      <c r="G55" s="189" t="s">
        <v>55</v>
      </c>
      <c r="H55" s="190" t="s">
        <v>55</v>
      </c>
      <c r="I55" s="189" t="s">
        <v>55</v>
      </c>
      <c r="J55" s="189" t="s">
        <v>9</v>
      </c>
      <c r="K55" s="190" t="s">
        <v>9</v>
      </c>
      <c r="L55" s="189" t="s">
        <v>9</v>
      </c>
      <c r="M55" s="189" t="s">
        <v>231</v>
      </c>
      <c r="N55" s="190" t="s">
        <v>231</v>
      </c>
      <c r="O55" s="189" t="s">
        <v>231</v>
      </c>
      <c r="P55" s="189" t="s">
        <v>10</v>
      </c>
      <c r="Q55" s="190" t="s">
        <v>10</v>
      </c>
      <c r="R55" s="189" t="s">
        <v>10</v>
      </c>
      <c r="S55" s="189" t="s">
        <v>57</v>
      </c>
      <c r="T55" s="190" t="s">
        <v>57</v>
      </c>
      <c r="U55" s="191" t="s">
        <v>57</v>
      </c>
      <c r="V55" s="203">
        <v>44971</v>
      </c>
    </row>
    <row r="56" spans="3:22" ht="18">
      <c r="C56" s="192" t="s">
        <v>179</v>
      </c>
      <c r="D56" s="180" t="s">
        <v>2</v>
      </c>
      <c r="E56" s="180" t="s">
        <v>3</v>
      </c>
      <c r="F56" s="180" t="s">
        <v>4</v>
      </c>
      <c r="G56" s="180" t="s">
        <v>2</v>
      </c>
      <c r="H56" s="180" t="s">
        <v>3</v>
      </c>
      <c r="I56" s="180" t="s">
        <v>4</v>
      </c>
      <c r="J56" s="180" t="s">
        <v>2</v>
      </c>
      <c r="K56" s="180" t="s">
        <v>3</v>
      </c>
      <c r="L56" s="180" t="s">
        <v>4</v>
      </c>
      <c r="M56" s="180" t="s">
        <v>2</v>
      </c>
      <c r="N56" s="180" t="s">
        <v>3</v>
      </c>
      <c r="O56" s="180" t="s">
        <v>4</v>
      </c>
      <c r="P56" s="180" t="s">
        <v>2</v>
      </c>
      <c r="Q56" s="180" t="s">
        <v>3</v>
      </c>
      <c r="R56" s="180" t="s">
        <v>4</v>
      </c>
      <c r="S56" s="180" t="s">
        <v>2</v>
      </c>
      <c r="T56" s="180" t="s">
        <v>3</v>
      </c>
      <c r="U56" s="193" t="s">
        <v>4</v>
      </c>
      <c r="V56" s="203">
        <v>44972</v>
      </c>
    </row>
    <row r="57" spans="3:22" ht="18">
      <c r="C57" s="194" t="e">
        <f>IF((INDEX('Storage Tariffs (Iberia)'!$A:$B,MATCH('DD Calculator(Iberia)'!$D$8,'Storage Tariffs (Iberia)'!$A:$A,0),1)=$D$8),INDEX('Storage Tariffs (Iberia)'!$A:$B,MATCH('DD Calculator(Iberia)'!$D$8,'Storage Tariffs (Iberia)'!$A:$A,0),2),"")</f>
        <v>#N/A</v>
      </c>
      <c r="D57" s="181" t="e">
        <f>IF($C57=0,0,INDEX('Storage Tariffs (Iberia)'!$A$1:$T$117,MATCH('DD Calculator(Iberia)'!$D$8,'Storage Tariffs (Iberia)'!$A$1:$A$117,0)+0,D$63))</f>
        <v>#N/A</v>
      </c>
      <c r="E57" s="181" t="e">
        <f>IF($C57=0,0,INDEX('Storage Tariffs (Iberia)'!$A$1:$T$117,MATCH('DD Calculator(Iberia)'!$D$8,'Storage Tariffs (Iberia)'!$A$1:$A$117,0)+0,E$63))</f>
        <v>#N/A</v>
      </c>
      <c r="F57" s="181" t="e">
        <f>IF($C57=0,0,INDEX('Storage Tariffs (Iberia)'!$A$1:$T$117,MATCH('DD Calculator(Iberia)'!$D$8,'Storage Tariffs (Iberia)'!$A$1:$A$117,0)+0,F$63))</f>
        <v>#N/A</v>
      </c>
      <c r="G57" s="181" t="e">
        <f>IF($C57=0,0,INDEX('Storage Tariffs (Iberia)'!$A$1:$T$117,MATCH('DD Calculator(Iberia)'!$D$8,'Storage Tariffs (Iberia)'!$A$1:$A$117,0)+0,G$63))</f>
        <v>#N/A</v>
      </c>
      <c r="H57" s="181" t="e">
        <f>IF($C57=0,0,INDEX('Storage Tariffs (Iberia)'!$A$1:$T$117,MATCH('DD Calculator(Iberia)'!$D$8,'Storage Tariffs (Iberia)'!$A$1:$A$117,0)+0,H$63))</f>
        <v>#N/A</v>
      </c>
      <c r="I57" s="181" t="e">
        <f>IF($C57=0,0,INDEX('Storage Tariffs (Iberia)'!$A$1:$T$117,MATCH('DD Calculator(Iberia)'!$D$8,'Storage Tariffs (Iberia)'!$A$1:$A$117,0)+0,I$63))</f>
        <v>#N/A</v>
      </c>
      <c r="J57" s="181" t="e">
        <f>IF($C57=0,0,INDEX('Storage Tariffs (Iberia)'!$A$1:$T$117,MATCH('DD Calculator(Iberia)'!$D$8,'Storage Tariffs (Iberia)'!$A$1:$A$117,0)+0,J$63))</f>
        <v>#N/A</v>
      </c>
      <c r="K57" s="181" t="e">
        <f>IF($C57=0,0,INDEX('Storage Tariffs (Iberia)'!$A$1:$T$117,MATCH('DD Calculator(Iberia)'!$D$8,'Storage Tariffs (Iberia)'!$A$1:$A$117,0)+0,K$63))</f>
        <v>#N/A</v>
      </c>
      <c r="L57" s="181" t="e">
        <f>IF($C57=0,0,INDEX('Storage Tariffs (Iberia)'!$A$1:$T$117,MATCH('DD Calculator(Iberia)'!$D$8,'Storage Tariffs (Iberia)'!$A$1:$A$117,0)+0,L$63))</f>
        <v>#N/A</v>
      </c>
      <c r="M57" s="181" t="e">
        <f>IF($C57=0,0,INDEX('Storage Tariffs (Iberia)'!$A$1:$T$117,MATCH('DD Calculator(Iberia)'!$D$8,'Storage Tariffs (Iberia)'!$A$1:$A$117,0)+0,M$63))</f>
        <v>#N/A</v>
      </c>
      <c r="N57" s="181" t="e">
        <f>IF($C57=0,0,INDEX('Storage Tariffs (Iberia)'!$A$1:$T$117,MATCH('DD Calculator(Iberia)'!$D$8,'Storage Tariffs (Iberia)'!$A$1:$A$117,0)+0,N$63))</f>
        <v>#N/A</v>
      </c>
      <c r="O57" s="181" t="e">
        <f>IF($C57=0,0,INDEX('Storage Tariffs (Iberia)'!$A$1:$T$117,MATCH('DD Calculator(Iberia)'!$D$8,'Storage Tariffs (Iberia)'!$A$1:$A$117,0)+0,O$63))</f>
        <v>#N/A</v>
      </c>
      <c r="P57" s="181" t="e">
        <f>IF($C57=0,0,INDEX('Storage Tariffs (Iberia)'!$A$1:$T$117,MATCH('DD Calculator(Iberia)'!$D$8,'Storage Tariffs (Iberia)'!$A$1:$A$117,0)+0,P$63))</f>
        <v>#N/A</v>
      </c>
      <c r="Q57" s="181" t="e">
        <f>IF($C57=0,0,INDEX('Storage Tariffs (Iberia)'!$A$1:$T$117,MATCH('DD Calculator(Iberia)'!$D$8,'Storage Tariffs (Iberia)'!$A$1:$A$117,0)+0,Q$63))</f>
        <v>#N/A</v>
      </c>
      <c r="R57" s="181" t="e">
        <f>IF($C57=0,0,INDEX('Storage Tariffs (Iberia)'!$A$1:$T$117,MATCH('DD Calculator(Iberia)'!$D$8,'Storage Tariffs (Iberia)'!$A$1:$A$117,0)+0,R$63))</f>
        <v>#N/A</v>
      </c>
      <c r="S57" s="181" t="e">
        <f>IF($C57=0,0,INDEX('Storage Tariffs (Iberia)'!$A$1:$T$117,MATCH('DD Calculator(Iberia)'!$D$8,'Storage Tariffs (Iberia)'!$A$1:$A$117,0)+0,S$63))</f>
        <v>#N/A</v>
      </c>
      <c r="T57" s="181" t="e">
        <f>IF($C57=0,0,INDEX('Storage Tariffs (Iberia)'!$A$1:$T$117,MATCH('DD Calculator(Iberia)'!$D$8,'Storage Tariffs (Iberia)'!$A$1:$A$117,0)+0,T$63))</f>
        <v>#N/A</v>
      </c>
      <c r="U57" s="195" t="e">
        <f>IF($C57=0,0,INDEX('Storage Tariffs (Iberia)'!$A$1:$T$117,MATCH('DD Calculator(Iberia)'!$D$8,'Storage Tariffs (Iberia)'!$A$1:$A$117,0)+0,U$63))</f>
        <v>#N/A</v>
      </c>
      <c r="V57" s="203">
        <v>44973</v>
      </c>
    </row>
    <row r="58" spans="3:22" ht="18">
      <c r="C58" s="194" t="e" cm="1">
        <f t="array" ref="C58">IF((INDEX('Storage Tariffs (Iberia)'!$A:$B,MATCH('DD Calculator(Iberia)'!$D$8,'Storage Tariffs (Iberia)'!$A:$A,0)+1,1)=$D$8),INDEX('Storage Tariffs (Iberia)'!$A:$B,MATCH('DD Calculator(Iberia)'!$D$8,'Storage Tariffs (Iberia)'!$A:$A,0)+1,2),"")</f>
        <v>#N/A</v>
      </c>
      <c r="D58" s="181" t="e">
        <f>IF($C58=0,0,INDEX('Storage Tariffs (Iberia)'!$A$1:$T$117,MATCH('DD Calculator(Iberia)'!$D$8,'Storage Tariffs (Iberia)'!$A$1:$A$117,0)+1,D$63))</f>
        <v>#N/A</v>
      </c>
      <c r="E58" s="181" t="e">
        <f>IF($C58=0,0,INDEX('Storage Tariffs (Iberia)'!$A$1:$T$117,MATCH('DD Calculator(Iberia)'!$D$8,'Storage Tariffs (Iberia)'!$A$1:$A$117,0)+1,E$63))</f>
        <v>#N/A</v>
      </c>
      <c r="F58" s="181" t="e">
        <f>IF($C58=0,0,INDEX('Storage Tariffs (Iberia)'!$A$1:$T$117,MATCH('DD Calculator(Iberia)'!$D$8,'Storage Tariffs (Iberia)'!$A$1:$A$117,0)+1,F$63))</f>
        <v>#N/A</v>
      </c>
      <c r="G58" s="181" t="e">
        <f>IF($C58=0,0,INDEX('Storage Tariffs (Iberia)'!$A$1:$T$117,MATCH('DD Calculator(Iberia)'!$D$8,'Storage Tariffs (Iberia)'!$A$1:$A$117,0)+1,G$63))</f>
        <v>#N/A</v>
      </c>
      <c r="H58" s="181" t="e">
        <f>IF($C58=0,0,INDEX('Storage Tariffs (Iberia)'!$A$1:$T$117,MATCH('DD Calculator(Iberia)'!$D$8,'Storage Tariffs (Iberia)'!$A$1:$A$117,0)+1,H$63))</f>
        <v>#N/A</v>
      </c>
      <c r="I58" s="181" t="e">
        <f>IF($C58=0,0,INDEX('Storage Tariffs (Iberia)'!$A$1:$T$117,MATCH('DD Calculator(Iberia)'!$D$8,'Storage Tariffs (Iberia)'!$A$1:$A$117,0)+1,I$63))</f>
        <v>#N/A</v>
      </c>
      <c r="J58" s="181" t="e">
        <f>IF($C58=0,0,INDEX('Storage Tariffs (Iberia)'!$A$1:$T$117,MATCH('DD Calculator(Iberia)'!$D$8,'Storage Tariffs (Iberia)'!$A$1:$A$117,0)+1,J$63))</f>
        <v>#N/A</v>
      </c>
      <c r="K58" s="181" t="e">
        <f>IF($C58=0,0,INDEX('Storage Tariffs (Iberia)'!$A$1:$T$117,MATCH('DD Calculator(Iberia)'!$D$8,'Storage Tariffs (Iberia)'!$A$1:$A$117,0)+1,K$63))</f>
        <v>#N/A</v>
      </c>
      <c r="L58" s="181" t="e">
        <f>IF($C58=0,0,INDEX('Storage Tariffs (Iberia)'!$A$1:$T$117,MATCH('DD Calculator(Iberia)'!$D$8,'Storage Tariffs (Iberia)'!$A$1:$A$117,0)+1,L$63))</f>
        <v>#N/A</v>
      </c>
      <c r="M58" s="181" t="e">
        <f>IF($C58=0,0,INDEX('Storage Tariffs (Iberia)'!$A$1:$T$117,MATCH('DD Calculator(Iberia)'!$D$8,'Storage Tariffs (Iberia)'!$A$1:$A$117,0)+1,M$63))</f>
        <v>#N/A</v>
      </c>
      <c r="N58" s="181" t="e">
        <f>IF($C58=0,0,INDEX('Storage Tariffs (Iberia)'!$A$1:$T$117,MATCH('DD Calculator(Iberia)'!$D$8,'Storage Tariffs (Iberia)'!$A$1:$A$117,0)+1,N$63))</f>
        <v>#N/A</v>
      </c>
      <c r="O58" s="181" t="e">
        <f>IF($C58=0,0,INDEX('Storage Tariffs (Iberia)'!$A$1:$T$117,MATCH('DD Calculator(Iberia)'!$D$8,'Storage Tariffs (Iberia)'!$A$1:$A$117,0)+1,O$63))</f>
        <v>#N/A</v>
      </c>
      <c r="P58" s="181" t="e">
        <f>IF($C58=0,0,INDEX('Storage Tariffs (Iberia)'!$A$1:$T$117,MATCH('DD Calculator(Iberia)'!$D$8,'Storage Tariffs (Iberia)'!$A$1:$A$117,0)+1,P$63))</f>
        <v>#N/A</v>
      </c>
      <c r="Q58" s="181" t="e">
        <f>IF($C58=0,0,INDEX('Storage Tariffs (Iberia)'!$A$1:$T$117,MATCH('DD Calculator(Iberia)'!$D$8,'Storage Tariffs (Iberia)'!$A$1:$A$117,0)+1,Q$63))</f>
        <v>#N/A</v>
      </c>
      <c r="R58" s="181" t="e">
        <f>IF($C58=0,0,INDEX('Storage Tariffs (Iberia)'!$A$1:$T$117,MATCH('DD Calculator(Iberia)'!$D$8,'Storage Tariffs (Iberia)'!$A$1:$A$117,0)+1,R$63))</f>
        <v>#N/A</v>
      </c>
      <c r="S58" s="181" t="e">
        <f>IF($C58=0,0,INDEX('Storage Tariffs (Iberia)'!$A$1:$T$117,MATCH('DD Calculator(Iberia)'!$D$8,'Storage Tariffs (Iberia)'!$A$1:$A$117,0)+1,S$63))</f>
        <v>#N/A</v>
      </c>
      <c r="T58" s="181" t="e">
        <f>IF($C58=0,0,INDEX('Storage Tariffs (Iberia)'!$A$1:$T$117,MATCH('DD Calculator(Iberia)'!$D$8,'Storage Tariffs (Iberia)'!$A$1:$A$117,0)+1,T$63))</f>
        <v>#N/A</v>
      </c>
      <c r="U58" s="195" t="e">
        <f>IF($C58=0,0,INDEX('Storage Tariffs (Iberia)'!$A$1:$T$117,MATCH('DD Calculator(Iberia)'!$D$8,'Storage Tariffs (Iberia)'!$A$1:$A$117,0)+1,U$63))</f>
        <v>#N/A</v>
      </c>
      <c r="V58" s="203">
        <v>44974</v>
      </c>
    </row>
    <row r="59" spans="3:22" ht="18">
      <c r="C59" s="194" t="e" cm="1">
        <f t="array" ref="C59">IF((INDEX('Storage Tariffs (Iberia)'!$A:$B,MATCH('DD Calculator(Iberia)'!$D$8,'Storage Tariffs (Iberia)'!$A:$A,0)+2,1)=$D$8),INDEX('Storage Tariffs (Iberia)'!$A:$B,MATCH('DD Calculator(Iberia)'!$D$8,'Storage Tariffs (Iberia)'!$A:$A,0)+2,2),0)</f>
        <v>#N/A</v>
      </c>
      <c r="D59" s="181" t="e">
        <f>IF($C59=0,0,INDEX('Storage Tariffs (Iberia)'!$A$1:$T$117,MATCH('DD Calculator(Iberia)'!$D$8,'Storage Tariffs (Iberia)'!$A$1:$A$117,0)+2,D$63))</f>
        <v>#N/A</v>
      </c>
      <c r="E59" s="181" t="e">
        <f>IF($C59=0,0,INDEX('Storage Tariffs (Iberia)'!$A$1:$T$117,MATCH('DD Calculator(Iberia)'!$D$8,'Storage Tariffs (Iberia)'!$A$1:$A$117,0)+2,E$63))</f>
        <v>#N/A</v>
      </c>
      <c r="F59" s="181" t="e">
        <f>IF($C59=0,0,INDEX('Storage Tariffs (Iberia)'!$A$1:$T$117,MATCH('DD Calculator(Iberia)'!$D$8,'Storage Tariffs (Iberia)'!$A$1:$A$117,0)+2,F$63))</f>
        <v>#N/A</v>
      </c>
      <c r="G59" s="181" t="e">
        <f>IF($C59=0,0,INDEX('Storage Tariffs (Iberia)'!$A$1:$T$117,MATCH('DD Calculator(Iberia)'!$D$8,'Storage Tariffs (Iberia)'!$A$1:$A$117,0)+2,G$63))</f>
        <v>#N/A</v>
      </c>
      <c r="H59" s="181" t="e">
        <f>IF($C59=0,0,INDEX('Storage Tariffs (Iberia)'!$A$1:$T$117,MATCH('DD Calculator(Iberia)'!$D$8,'Storage Tariffs (Iberia)'!$A$1:$A$117,0)+2,H$63))</f>
        <v>#N/A</v>
      </c>
      <c r="I59" s="181" t="e">
        <f>IF($C59=0,0,INDEX('Storage Tariffs (Iberia)'!$A$1:$T$117,MATCH('DD Calculator(Iberia)'!$D$8,'Storage Tariffs (Iberia)'!$A$1:$A$117,0)+2,I$63))</f>
        <v>#N/A</v>
      </c>
      <c r="J59" s="181" t="e">
        <f>IF($C59=0,0,INDEX('Storage Tariffs (Iberia)'!$A$1:$T$117,MATCH('DD Calculator(Iberia)'!$D$8,'Storage Tariffs (Iberia)'!$A$1:$A$117,0)+2,J$63))</f>
        <v>#N/A</v>
      </c>
      <c r="K59" s="181" t="e">
        <f>IF($C59=0,0,INDEX('Storage Tariffs (Iberia)'!$A$1:$T$117,MATCH('DD Calculator(Iberia)'!$D$8,'Storage Tariffs (Iberia)'!$A$1:$A$117,0)+2,K$63))</f>
        <v>#N/A</v>
      </c>
      <c r="L59" s="181" t="e">
        <f>IF($C59=0,0,INDEX('Storage Tariffs (Iberia)'!$A$1:$T$117,MATCH('DD Calculator(Iberia)'!$D$8,'Storage Tariffs (Iberia)'!$A$1:$A$117,0)+2,L$63))</f>
        <v>#N/A</v>
      </c>
      <c r="M59" s="181" t="e">
        <f>IF($C59=0,0,INDEX('Storage Tariffs (Iberia)'!$A$1:$T$117,MATCH('DD Calculator(Iberia)'!$D$8,'Storage Tariffs (Iberia)'!$A$1:$A$117,0)+2,M$63))</f>
        <v>#N/A</v>
      </c>
      <c r="N59" s="181" t="e">
        <f>IF($C59=0,0,INDEX('Storage Tariffs (Iberia)'!$A$1:$T$117,MATCH('DD Calculator(Iberia)'!$D$8,'Storage Tariffs (Iberia)'!$A$1:$A$117,0)+2,N$63))</f>
        <v>#N/A</v>
      </c>
      <c r="O59" s="181" t="e">
        <f>IF($C59=0,0,INDEX('Storage Tariffs (Iberia)'!$A$1:$T$117,MATCH('DD Calculator(Iberia)'!$D$8,'Storage Tariffs (Iberia)'!$A$1:$A$117,0)+2,O$63))</f>
        <v>#N/A</v>
      </c>
      <c r="P59" s="181" t="e">
        <f>IF($C59=0,0,INDEX('Storage Tariffs (Iberia)'!$A$1:$T$117,MATCH('DD Calculator(Iberia)'!$D$8,'Storage Tariffs (Iberia)'!$A$1:$A$117,0)+2,P$63))</f>
        <v>#N/A</v>
      </c>
      <c r="Q59" s="181" t="e">
        <f>IF($C59=0,0,INDEX('Storage Tariffs (Iberia)'!$A$1:$T$117,MATCH('DD Calculator(Iberia)'!$D$8,'Storage Tariffs (Iberia)'!$A$1:$A$117,0)+2,Q$63))</f>
        <v>#N/A</v>
      </c>
      <c r="R59" s="181" t="e">
        <f>IF($C59=0,0,INDEX('Storage Tariffs (Iberia)'!$A$1:$T$117,MATCH('DD Calculator(Iberia)'!$D$8,'Storage Tariffs (Iberia)'!$A$1:$A$117,0)+2,R$63))</f>
        <v>#N/A</v>
      </c>
      <c r="S59" s="181" t="e">
        <f>IF($C59=0,0,INDEX('Storage Tariffs (Iberia)'!$A$1:$T$117,MATCH('DD Calculator(Iberia)'!$D$8,'Storage Tariffs (Iberia)'!$A$1:$A$117,0)+2,S$63))</f>
        <v>#N/A</v>
      </c>
      <c r="T59" s="181" t="e">
        <f>IF($C59=0,0,INDEX('Storage Tariffs (Iberia)'!$A$1:$T$117,MATCH('DD Calculator(Iberia)'!$D$8,'Storage Tariffs (Iberia)'!$A$1:$A$117,0)+2,T$63))</f>
        <v>#N/A</v>
      </c>
      <c r="U59" s="195" t="e">
        <f>IF($C59=0,0,INDEX('Storage Tariffs (Iberia)'!$A$1:$T$117,MATCH('DD Calculator(Iberia)'!$D$8,'Storage Tariffs (Iberia)'!$A$1:$A$117,0)+2,U$63))</f>
        <v>#N/A</v>
      </c>
      <c r="V59" s="203">
        <v>44975</v>
      </c>
    </row>
    <row r="60" spans="3:22" ht="18">
      <c r="C60" s="194" t="e" cm="1">
        <f t="array" ref="C60">IF((INDEX('Storage Tariffs (Iberia)'!$A:$B,MATCH('DD Calculator(Iberia)'!$D$8,'Storage Tariffs (Iberia)'!$A:$A,0)+3,1)=$D$8),INDEX('Storage Tariffs (Iberia)'!$A:$B,MATCH('DD Calculator(Iberia)'!$D$8,'Storage Tariffs (Iberia)'!$A:$A,0)+3,2),0)</f>
        <v>#N/A</v>
      </c>
      <c r="D60" s="181" t="e">
        <f>IF($C60=0,0,INDEX('Storage Tariffs (Iberia)'!$A$1:$T$117,MATCH('DD Calculator(Iberia)'!$D$8,'Storage Tariffs (Iberia)'!$A$1:$A$117,0)+3,D$63))</f>
        <v>#N/A</v>
      </c>
      <c r="E60" s="181" t="e">
        <f>IF($C60=0,0,INDEX('Storage Tariffs (Iberia)'!$A$1:$T$117,MATCH('DD Calculator(Iberia)'!$D$8,'Storage Tariffs (Iberia)'!$A$1:$A$117,0)+3,E$63))</f>
        <v>#N/A</v>
      </c>
      <c r="F60" s="181" t="e">
        <f>IF($C60=0,0,INDEX('Storage Tariffs (Iberia)'!$A$1:$T$117,MATCH('DD Calculator(Iberia)'!$D$8,'Storage Tariffs (Iberia)'!$A$1:$A$117,0)+3,F$63))</f>
        <v>#N/A</v>
      </c>
      <c r="G60" s="181" t="e">
        <f>IF($C60=0,0,INDEX('Storage Tariffs (Iberia)'!$A$1:$T$117,MATCH('DD Calculator(Iberia)'!$D$8,'Storage Tariffs (Iberia)'!$A$1:$A$117,0)+3,G$63))</f>
        <v>#N/A</v>
      </c>
      <c r="H60" s="181" t="e">
        <f>IF($C60=0,0,INDEX('Storage Tariffs (Iberia)'!$A$1:$T$117,MATCH('DD Calculator(Iberia)'!$D$8,'Storage Tariffs (Iberia)'!$A$1:$A$117,0)+3,H$63))</f>
        <v>#N/A</v>
      </c>
      <c r="I60" s="181" t="e">
        <f>IF($C60=0,0,INDEX('Storage Tariffs (Iberia)'!$A$1:$T$117,MATCH('DD Calculator(Iberia)'!$D$8,'Storage Tariffs (Iberia)'!$A$1:$A$117,0)+3,I$63))</f>
        <v>#N/A</v>
      </c>
      <c r="J60" s="181" t="e">
        <f>IF($C60=0,0,INDEX('Storage Tariffs (Iberia)'!$A$1:$T$117,MATCH('DD Calculator(Iberia)'!$D$8,'Storage Tariffs (Iberia)'!$A$1:$A$117,0)+3,J$63))</f>
        <v>#N/A</v>
      </c>
      <c r="K60" s="181" t="e">
        <f>IF($C60=0,0,INDEX('Storage Tariffs (Iberia)'!$A$1:$T$117,MATCH('DD Calculator(Iberia)'!$D$8,'Storage Tariffs (Iberia)'!$A$1:$A$117,0)+3,K$63))</f>
        <v>#N/A</v>
      </c>
      <c r="L60" s="181" t="e">
        <f>IF($C60=0,0,INDEX('Storage Tariffs (Iberia)'!$A$1:$T$117,MATCH('DD Calculator(Iberia)'!$D$8,'Storage Tariffs (Iberia)'!$A$1:$A$117,0)+3,L$63))</f>
        <v>#N/A</v>
      </c>
      <c r="M60" s="181" t="e">
        <f>IF($C60=0,0,INDEX('Storage Tariffs (Iberia)'!$A$1:$T$117,MATCH('DD Calculator(Iberia)'!$D$8,'Storage Tariffs (Iberia)'!$A$1:$A$117,0)+3,M$63))</f>
        <v>#N/A</v>
      </c>
      <c r="N60" s="181" t="e">
        <f>IF($C60=0,0,INDEX('Storage Tariffs (Iberia)'!$A$1:$T$117,MATCH('DD Calculator(Iberia)'!$D$8,'Storage Tariffs (Iberia)'!$A$1:$A$117,0)+3,N$63))</f>
        <v>#N/A</v>
      </c>
      <c r="O60" s="181" t="e">
        <f>IF($C60=0,0,INDEX('Storage Tariffs (Iberia)'!$A$1:$T$117,MATCH('DD Calculator(Iberia)'!$D$8,'Storage Tariffs (Iberia)'!$A$1:$A$117,0)+3,O$63))</f>
        <v>#N/A</v>
      </c>
      <c r="P60" s="181" t="e">
        <f>IF($C60=0,0,INDEX('Storage Tariffs (Iberia)'!$A$1:$T$117,MATCH('DD Calculator(Iberia)'!$D$8,'Storage Tariffs (Iberia)'!$A$1:$A$117,0)+3,P$63))</f>
        <v>#N/A</v>
      </c>
      <c r="Q60" s="181" t="e">
        <f>IF($C60=0,0,INDEX('Storage Tariffs (Iberia)'!$A$1:$T$117,MATCH('DD Calculator(Iberia)'!$D$8,'Storage Tariffs (Iberia)'!$A$1:$A$117,0)+3,Q$63))</f>
        <v>#N/A</v>
      </c>
      <c r="R60" s="181" t="e">
        <f>IF($C60=0,0,INDEX('Storage Tariffs (Iberia)'!$A$1:$T$117,MATCH('DD Calculator(Iberia)'!$D$8,'Storage Tariffs (Iberia)'!$A$1:$A$117,0)+3,R$63))</f>
        <v>#N/A</v>
      </c>
      <c r="S60" s="181" t="e">
        <f>IF($C60=0,0,INDEX('Storage Tariffs (Iberia)'!$A$1:$T$117,MATCH('DD Calculator(Iberia)'!$D$8,'Storage Tariffs (Iberia)'!$A$1:$A$117,0)+3,S$63))</f>
        <v>#N/A</v>
      </c>
      <c r="T60" s="181" t="e">
        <f>IF($C60=0,0,INDEX('Storage Tariffs (Iberia)'!$A$1:$T$117,MATCH('DD Calculator(Iberia)'!$D$8,'Storage Tariffs (Iberia)'!$A$1:$A$117,0)+3,T$63))</f>
        <v>#N/A</v>
      </c>
      <c r="U60" s="195" t="e">
        <f>IF($C60=0,0,INDEX('Storage Tariffs (Iberia)'!$A$1:$T$117,MATCH('DD Calculator(Iberia)'!$D$8,'Storage Tariffs (Iberia)'!$A$1:$A$117,0)+3,U$63))</f>
        <v>#N/A</v>
      </c>
      <c r="V60" s="203">
        <v>44976</v>
      </c>
    </row>
    <row r="61" spans="3:22" ht="18">
      <c r="C61" s="196" t="e" cm="1">
        <f t="array" ref="C61">IF((INDEX('Storage Tariffs (Iberia)'!$A:$B,MATCH('DD Calculator(Iberia)'!$D$8,'Storage Tariffs (Iberia)'!$A:$A,0)+4,1)=$D$8),INDEX('Storage Tariffs (Iberia)'!$A:$B,MATCH('DD Calculator(Iberia)'!$D$8,'Storage Tariffs (Iberia)'!$A:$A,0)+4,2),0)</f>
        <v>#N/A</v>
      </c>
      <c r="D61" s="181" t="e">
        <f>IF($C61=0,0,INDEX('Storage Tariffs (Iberia)'!$A$1:$T$117,MATCH('DD Calculator(Iberia)'!$D$8,'Storage Tariffs (Iberia)'!$A$1:$A$117,0)+4,D$63))</f>
        <v>#N/A</v>
      </c>
      <c r="E61" s="181" t="e">
        <f>IF($C61=0,0,INDEX('Storage Tariffs (Iberia)'!$A$1:$T$117,MATCH('DD Calculator(Iberia)'!$D$8,'Storage Tariffs (Iberia)'!$A$1:$A$117,0)+4,E$63))</f>
        <v>#N/A</v>
      </c>
      <c r="F61" s="181" t="e">
        <f>IF($C61=0,0,INDEX('Storage Tariffs (Iberia)'!$A$1:$T$117,MATCH('DD Calculator(Iberia)'!$D$8,'Storage Tariffs (Iberia)'!$A$1:$A$117,0)+4,F$63))</f>
        <v>#N/A</v>
      </c>
      <c r="G61" s="181" t="e">
        <f>IF($C61=0,0,INDEX('Storage Tariffs (Iberia)'!$A$1:$T$117,MATCH('DD Calculator(Iberia)'!$D$8,'Storage Tariffs (Iberia)'!$A$1:$A$117,0)+4,G$63))</f>
        <v>#N/A</v>
      </c>
      <c r="H61" s="181" t="e">
        <f>IF($C61=0,0,INDEX('Storage Tariffs (Iberia)'!$A$1:$T$117,MATCH('DD Calculator(Iberia)'!$D$8,'Storage Tariffs (Iberia)'!$A$1:$A$117,0)+4,H$63))</f>
        <v>#N/A</v>
      </c>
      <c r="I61" s="181" t="e">
        <f>IF($C61=0,0,INDEX('Storage Tariffs (Iberia)'!$A$1:$T$117,MATCH('DD Calculator(Iberia)'!$D$8,'Storage Tariffs (Iberia)'!$A$1:$A$117,0)+4,I$63))</f>
        <v>#N/A</v>
      </c>
      <c r="J61" s="181" t="e">
        <f>IF($C61=0,0,INDEX('Storage Tariffs (Iberia)'!$A$1:$T$117,MATCH('DD Calculator(Iberia)'!$D$8,'Storage Tariffs (Iberia)'!$A$1:$A$117,0)+4,J$63))</f>
        <v>#N/A</v>
      </c>
      <c r="K61" s="181" t="e">
        <f>IF($C61=0,0,INDEX('Storage Tariffs (Iberia)'!$A$1:$T$117,MATCH('DD Calculator(Iberia)'!$D$8,'Storage Tariffs (Iberia)'!$A$1:$A$117,0)+4,K$63))</f>
        <v>#N/A</v>
      </c>
      <c r="L61" s="181" t="e">
        <f>IF($C61=0,0,INDEX('Storage Tariffs (Iberia)'!$A$1:$T$117,MATCH('DD Calculator(Iberia)'!$D$8,'Storage Tariffs (Iberia)'!$A$1:$A$117,0)+4,L$63))</f>
        <v>#N/A</v>
      </c>
      <c r="M61" s="181" t="e">
        <f>IF($C61=0,0,INDEX('Storage Tariffs (Iberia)'!$A$1:$T$117,MATCH('DD Calculator(Iberia)'!$D$8,'Storage Tariffs (Iberia)'!$A$1:$A$117,0)+4,M$63))</f>
        <v>#N/A</v>
      </c>
      <c r="N61" s="181" t="e">
        <f>IF($C61=0,0,INDEX('Storage Tariffs (Iberia)'!$A$1:$T$117,MATCH('DD Calculator(Iberia)'!$D$8,'Storage Tariffs (Iberia)'!$A$1:$A$117,0)+4,N$63))</f>
        <v>#N/A</v>
      </c>
      <c r="O61" s="181" t="e">
        <f>IF($C61=0,0,INDEX('Storage Tariffs (Iberia)'!$A$1:$T$117,MATCH('DD Calculator(Iberia)'!$D$8,'Storage Tariffs (Iberia)'!$A$1:$A$117,0)+4,O$63))</f>
        <v>#N/A</v>
      </c>
      <c r="P61" s="181" t="e">
        <f>IF($C61=0,0,INDEX('Storage Tariffs (Iberia)'!$A$1:$T$117,MATCH('DD Calculator(Iberia)'!$D$8,'Storage Tariffs (Iberia)'!$A$1:$A$117,0)+4,P$63))</f>
        <v>#N/A</v>
      </c>
      <c r="Q61" s="181" t="e">
        <f>IF($C61=0,0,INDEX('Storage Tariffs (Iberia)'!$A$1:$T$117,MATCH('DD Calculator(Iberia)'!$D$8,'Storage Tariffs (Iberia)'!$A$1:$A$117,0)+4,Q$63))</f>
        <v>#N/A</v>
      </c>
      <c r="R61" s="181" t="e">
        <f>IF($C61=0,0,INDEX('Storage Tariffs (Iberia)'!$A$1:$T$117,MATCH('DD Calculator(Iberia)'!$D$8,'Storage Tariffs (Iberia)'!$A$1:$A$117,0)+4,R$63))</f>
        <v>#N/A</v>
      </c>
      <c r="S61" s="181" t="e">
        <f>IF($C61=0,0,INDEX('Storage Tariffs (Iberia)'!$A$1:$T$117,MATCH('DD Calculator(Iberia)'!$D$8,'Storage Tariffs (Iberia)'!$A$1:$A$117,0)+4,S$63))</f>
        <v>#N/A</v>
      </c>
      <c r="T61" s="181" t="e">
        <f>IF($C61=0,0,INDEX('Storage Tariffs (Iberia)'!$A$1:$T$117,MATCH('DD Calculator(Iberia)'!$D$8,'Storage Tariffs (Iberia)'!$A$1:$A$117,0)+4,T$63))</f>
        <v>#N/A</v>
      </c>
      <c r="U61" s="195" t="e">
        <f>IF($C61=0,0,INDEX('Storage Tariffs (Iberia)'!$A$1:$T$117,MATCH('DD Calculator(Iberia)'!$D$8,'Storage Tariffs (Iberia)'!$A$1:$A$117,0)+4,U$63))</f>
        <v>#N/A</v>
      </c>
      <c r="V61" s="203">
        <v>44977</v>
      </c>
    </row>
    <row r="62" spans="3:22" ht="18.75" thickBot="1">
      <c r="C62" s="197" t="e" cm="1">
        <f t="array" ref="C62">IF((INDEX('Storage Tariffs (Iberia)'!$A:$B,MATCH('DD Calculator(Iberia)'!$D$8,'Storage Tariffs (Iberia)'!$A:$A,0)+5,1)=$D$8),INDEX('Storage Tariffs (Iberia)'!$A:$B,MATCH('DD Calculator(Iberia)'!$D$8,'Storage Tariffs (Iberia)'!$A:$A,0)+5,2),0)</f>
        <v>#N/A</v>
      </c>
      <c r="D62" s="198" t="e">
        <f>IF($C62=0,0,INDEX('Storage Tariffs (Iberia)'!$A$1:$T$117,MATCH('DD Calculator(Iberia)'!$D$8,'Storage Tariffs (Iberia)'!$A$1:$A$117,0)+5,D$63))</f>
        <v>#N/A</v>
      </c>
      <c r="E62" s="198" t="e">
        <f>IF($C62=0,0,INDEX('Storage Tariffs (Iberia)'!$A$1:$T$117,MATCH('DD Calculator(Iberia)'!$D$8,'Storage Tariffs (Iberia)'!$A$1:$A$117,0)+5,E$63))</f>
        <v>#N/A</v>
      </c>
      <c r="F62" s="198" t="e">
        <f>IF($C62=0,0,INDEX('Storage Tariffs (Iberia)'!$A$1:$T$117,MATCH('DD Calculator(Iberia)'!$D$8,'Storage Tariffs (Iberia)'!$A$1:$A$117,0)+5,F$63))</f>
        <v>#N/A</v>
      </c>
      <c r="G62" s="198" t="e">
        <f>IF($C62=0,0,INDEX('Storage Tariffs (Iberia)'!$A$1:$T$117,MATCH('DD Calculator(Iberia)'!$D$8,'Storage Tariffs (Iberia)'!$A$1:$A$117,0)+5,G$63))</f>
        <v>#N/A</v>
      </c>
      <c r="H62" s="198" t="e">
        <f>IF($C62=0,0,INDEX('Storage Tariffs (Iberia)'!$A$1:$T$117,MATCH('DD Calculator(Iberia)'!$D$8,'Storage Tariffs (Iberia)'!$A$1:$A$117,0)+5,H$63))</f>
        <v>#N/A</v>
      </c>
      <c r="I62" s="198" t="e">
        <f>IF($C62=0,0,INDEX('Storage Tariffs (Iberia)'!$A$1:$T$117,MATCH('DD Calculator(Iberia)'!$D$8,'Storage Tariffs (Iberia)'!$A$1:$A$117,0)+5,I$63))</f>
        <v>#N/A</v>
      </c>
      <c r="J62" s="198" t="e">
        <f>IF($C62=0,0,INDEX('Storage Tariffs (Iberia)'!$A$1:$T$117,MATCH('DD Calculator(Iberia)'!$D$8,'Storage Tariffs (Iberia)'!$A$1:$A$117,0)+5,J$63))</f>
        <v>#N/A</v>
      </c>
      <c r="K62" s="198" t="e">
        <f>IF($C62=0,0,INDEX('Storage Tariffs (Iberia)'!$A$1:$T$117,MATCH('DD Calculator(Iberia)'!$D$8,'Storage Tariffs (Iberia)'!$A$1:$A$117,0)+5,K$63))</f>
        <v>#N/A</v>
      </c>
      <c r="L62" s="198" t="e">
        <f>IF($C62=0,0,INDEX('Storage Tariffs (Iberia)'!$A$1:$T$117,MATCH('DD Calculator(Iberia)'!$D$8,'Storage Tariffs (Iberia)'!$A$1:$A$117,0)+5,L$63))</f>
        <v>#N/A</v>
      </c>
      <c r="M62" s="198" t="e">
        <f>IF($C62=0,0,INDEX('Storage Tariffs (Iberia)'!$A$1:$T$117,MATCH('DD Calculator(Iberia)'!$D$8,'Storage Tariffs (Iberia)'!$A$1:$A$117,0)+5,M$63))</f>
        <v>#N/A</v>
      </c>
      <c r="N62" s="198" t="e">
        <f>IF($C62=0,0,INDEX('Storage Tariffs (Iberia)'!$A$1:$T$117,MATCH('DD Calculator(Iberia)'!$D$8,'Storage Tariffs (Iberia)'!$A$1:$A$117,0)+5,N$63))</f>
        <v>#N/A</v>
      </c>
      <c r="O62" s="198" t="e">
        <f>IF($C62=0,0,INDEX('Storage Tariffs (Iberia)'!$A$1:$T$117,MATCH('DD Calculator(Iberia)'!$D$8,'Storage Tariffs (Iberia)'!$A$1:$A$117,0)+5,O$63))</f>
        <v>#N/A</v>
      </c>
      <c r="P62" s="198" t="e">
        <f>IF($C62=0,0,INDEX('Storage Tariffs (Iberia)'!$A$1:$T$117,MATCH('DD Calculator(Iberia)'!$D$8,'Storage Tariffs (Iberia)'!$A$1:$A$117,0)+5,P$63))</f>
        <v>#N/A</v>
      </c>
      <c r="Q62" s="198" t="e">
        <f>IF($C62=0,0,INDEX('Storage Tariffs (Iberia)'!$A$1:$T$117,MATCH('DD Calculator(Iberia)'!$D$8,'Storage Tariffs (Iberia)'!$A$1:$A$117,0)+5,Q$63))</f>
        <v>#N/A</v>
      </c>
      <c r="R62" s="198" t="e">
        <f>IF($C62=0,0,INDEX('Storage Tariffs (Iberia)'!$A$1:$T$117,MATCH('DD Calculator(Iberia)'!$D$8,'Storage Tariffs (Iberia)'!$A$1:$A$117,0)+5,R$63))</f>
        <v>#N/A</v>
      </c>
      <c r="S62" s="198" t="e">
        <f>IF($C62=0,0,INDEX('Storage Tariffs (Iberia)'!$A$1:$T$117,MATCH('DD Calculator(Iberia)'!$D$8,'Storage Tariffs (Iberia)'!$A$1:$A$117,0)+5,S$63))</f>
        <v>#N/A</v>
      </c>
      <c r="T62" s="198" t="e">
        <f>IF($C62=0,0,INDEX('Storage Tariffs (Iberia)'!$A$1:$T$117,MATCH('DD Calculator(Iberia)'!$D$8,'Storage Tariffs (Iberia)'!$A$1:$A$117,0)+5,T$63))</f>
        <v>#N/A</v>
      </c>
      <c r="U62" s="199" t="e">
        <f>IF($C62=0,0,INDEX('Storage Tariffs (Iberia)'!$A$1:$T$117,MATCH('DD Calculator(Iberia)'!$D$8,'Storage Tariffs (Iberia)'!$A$1:$A$117,0)+5,U$63))</f>
        <v>#N/A</v>
      </c>
      <c r="V62" s="203">
        <v>44978</v>
      </c>
    </row>
    <row r="63" spans="3:22" ht="15.75" thickBot="1">
      <c r="D63" s="175">
        <v>3</v>
      </c>
      <c r="E63" s="175">
        <v>4</v>
      </c>
      <c r="F63" s="175">
        <v>5</v>
      </c>
      <c r="G63" s="175">
        <v>6</v>
      </c>
      <c r="H63" s="175">
        <v>7</v>
      </c>
      <c r="I63" s="175">
        <v>8</v>
      </c>
      <c r="J63" s="175">
        <v>9</v>
      </c>
      <c r="K63" s="175">
        <v>10</v>
      </c>
      <c r="L63" s="175">
        <v>11</v>
      </c>
      <c r="M63" s="175">
        <v>12</v>
      </c>
      <c r="N63" s="175">
        <v>13</v>
      </c>
      <c r="O63" s="175">
        <v>14</v>
      </c>
      <c r="P63" s="175">
        <v>15</v>
      </c>
      <c r="Q63" s="175">
        <v>16</v>
      </c>
      <c r="R63" s="175">
        <v>17</v>
      </c>
      <c r="S63" s="175">
        <v>18</v>
      </c>
      <c r="T63" s="175">
        <v>19</v>
      </c>
      <c r="U63" s="175">
        <v>20</v>
      </c>
      <c r="V63" s="203">
        <v>44979</v>
      </c>
    </row>
    <row r="64" spans="3:22" ht="47.45" customHeight="1">
      <c r="C64" s="188" t="e">
        <f>VLOOKUP($D$8,$X$11:$Z$35,3,0)</f>
        <v>#N/A</v>
      </c>
      <c r="D64" s="189" t="s">
        <v>8</v>
      </c>
      <c r="E64" s="190" t="s">
        <v>8</v>
      </c>
      <c r="F64" s="189" t="s">
        <v>8</v>
      </c>
      <c r="G64" s="189" t="s">
        <v>55</v>
      </c>
      <c r="H64" s="190" t="s">
        <v>55</v>
      </c>
      <c r="I64" s="189" t="s">
        <v>55</v>
      </c>
      <c r="J64" s="189" t="s">
        <v>9</v>
      </c>
      <c r="K64" s="190" t="s">
        <v>9</v>
      </c>
      <c r="L64" s="189" t="s">
        <v>9</v>
      </c>
      <c r="M64" s="189" t="s">
        <v>231</v>
      </c>
      <c r="N64" s="190" t="s">
        <v>231</v>
      </c>
      <c r="O64" s="189" t="s">
        <v>231</v>
      </c>
      <c r="P64" s="189" t="s">
        <v>10</v>
      </c>
      <c r="Q64" s="190" t="s">
        <v>10</v>
      </c>
      <c r="R64" s="189" t="s">
        <v>10</v>
      </c>
      <c r="S64" s="189" t="s">
        <v>57</v>
      </c>
      <c r="T64" s="190" t="s">
        <v>57</v>
      </c>
      <c r="U64" s="191" t="s">
        <v>57</v>
      </c>
      <c r="V64" s="203">
        <v>44980</v>
      </c>
    </row>
    <row r="65" spans="3:22" ht="18">
      <c r="C65" s="192" t="s">
        <v>179</v>
      </c>
      <c r="D65" s="180" t="s">
        <v>2</v>
      </c>
      <c r="E65" s="180" t="s">
        <v>3</v>
      </c>
      <c r="F65" s="180" t="s">
        <v>4</v>
      </c>
      <c r="G65" s="180" t="s">
        <v>2</v>
      </c>
      <c r="H65" s="180" t="s">
        <v>3</v>
      </c>
      <c r="I65" s="180" t="s">
        <v>4</v>
      </c>
      <c r="J65" s="180" t="s">
        <v>2</v>
      </c>
      <c r="K65" s="180" t="s">
        <v>3</v>
      </c>
      <c r="L65" s="180" t="s">
        <v>4</v>
      </c>
      <c r="M65" s="180" t="s">
        <v>2</v>
      </c>
      <c r="N65" s="180" t="s">
        <v>3</v>
      </c>
      <c r="O65" s="180" t="s">
        <v>4</v>
      </c>
      <c r="P65" s="180" t="s">
        <v>2</v>
      </c>
      <c r="Q65" s="180" t="s">
        <v>3</v>
      </c>
      <c r="R65" s="180" t="s">
        <v>4</v>
      </c>
      <c r="S65" s="180" t="s">
        <v>2</v>
      </c>
      <c r="T65" s="180" t="s">
        <v>3</v>
      </c>
      <c r="U65" s="193" t="s">
        <v>4</v>
      </c>
      <c r="V65" s="203">
        <v>44981</v>
      </c>
    </row>
    <row r="66" spans="3:22" ht="18">
      <c r="C66" s="200" t="s">
        <v>1</v>
      </c>
      <c r="D66" s="181" t="e">
        <f>INDEX('Storage Tariffs (Iberia)'!$A$1:$T$217,MATCH($C$64,'Storage Tariffs (Iberia)'!$A$1:$A$217,0),D$63)</f>
        <v>#N/A</v>
      </c>
      <c r="E66" s="181" t="e">
        <f>INDEX('Storage Tariffs (Iberia)'!$A$1:$T$217,MATCH($C$64,'Storage Tariffs (Iberia)'!$A$1:$A$217,0),E$63)</f>
        <v>#N/A</v>
      </c>
      <c r="F66" s="181" t="e">
        <f>INDEX('Storage Tariffs (Iberia)'!$A$1:$T$217,MATCH($C$64,'Storage Tariffs (Iberia)'!$A$1:$A$217,0),F$63)</f>
        <v>#N/A</v>
      </c>
      <c r="G66" s="181" t="e">
        <f>INDEX('Storage Tariffs (Iberia)'!$A$1:$T$217,MATCH($C$64,'Storage Tariffs (Iberia)'!$A$1:$A$217,0),G$63)</f>
        <v>#N/A</v>
      </c>
      <c r="H66" s="181" t="e">
        <f>INDEX('Storage Tariffs (Iberia)'!$A$1:$T$217,MATCH($C$64,'Storage Tariffs (Iberia)'!$A$1:$A$217,0),H$63)</f>
        <v>#N/A</v>
      </c>
      <c r="I66" s="181" t="e">
        <f>INDEX('Storage Tariffs (Iberia)'!$A$1:$T$217,MATCH($C$64,'Storage Tariffs (Iberia)'!$A$1:$A$217,0),I$63)</f>
        <v>#N/A</v>
      </c>
      <c r="J66" s="181" t="e">
        <f>INDEX('Storage Tariffs (Iberia)'!$A$1:$T$217,MATCH($C$64,'Storage Tariffs (Iberia)'!$A$1:$A$217,0),J$63)</f>
        <v>#N/A</v>
      </c>
      <c r="K66" s="181" t="e">
        <f>INDEX('Storage Tariffs (Iberia)'!$A$1:$T$217,MATCH($C$64,'Storage Tariffs (Iberia)'!$A$1:$A$217,0),K$63)</f>
        <v>#N/A</v>
      </c>
      <c r="L66" s="181" t="e">
        <f>INDEX('Storage Tariffs (Iberia)'!$A$1:$T$217,MATCH($C$64,'Storage Tariffs (Iberia)'!$A$1:$A$217,0),L$63)</f>
        <v>#N/A</v>
      </c>
      <c r="M66" s="181" t="e">
        <f>INDEX('Storage Tariffs (Iberia)'!$A$1:$T$217,MATCH($C$64,'Storage Tariffs (Iberia)'!$A$1:$A$217,0),M$63)</f>
        <v>#N/A</v>
      </c>
      <c r="N66" s="181" t="e">
        <f>INDEX('Storage Tariffs (Iberia)'!$A$1:$T$217,MATCH($C$64,'Storage Tariffs (Iberia)'!$A$1:$A$217,0),N$63)</f>
        <v>#N/A</v>
      </c>
      <c r="O66" s="181" t="e">
        <f>INDEX('Storage Tariffs (Iberia)'!$A$1:$T$217,MATCH($C$64,'Storage Tariffs (Iberia)'!$A$1:$A$217,0),O$63)</f>
        <v>#N/A</v>
      </c>
      <c r="P66" s="181" t="e">
        <f>INDEX('Storage Tariffs (Iberia)'!$A$1:$T$217,MATCH($C$64,'Storage Tariffs (Iberia)'!$A$1:$A$217,0),P$63)</f>
        <v>#N/A</v>
      </c>
      <c r="Q66" s="181" t="e">
        <f>INDEX('Storage Tariffs (Iberia)'!$A$1:$T$217,MATCH($C$64,'Storage Tariffs (Iberia)'!$A$1:$A$217,0),Q$63)</f>
        <v>#N/A</v>
      </c>
      <c r="R66" s="181" t="e">
        <f>INDEX('Storage Tariffs (Iberia)'!$A$1:$T$217,MATCH($C$64,'Storage Tariffs (Iberia)'!$A$1:$A$217,0),R$63)</f>
        <v>#N/A</v>
      </c>
      <c r="S66" s="181" t="e">
        <f>INDEX('Storage Tariffs (Iberia)'!$A$1:$T$217,MATCH($C$64,'Storage Tariffs (Iberia)'!$A$1:$A$217,0),S$63)</f>
        <v>#N/A</v>
      </c>
      <c r="T66" s="181" t="e">
        <f>INDEX('Storage Tariffs (Iberia)'!$A$1:$T$217,MATCH($C$64,'Storage Tariffs (Iberia)'!$A$1:$A$217,0),T$63)</f>
        <v>#N/A</v>
      </c>
      <c r="U66" s="195" t="e">
        <f>INDEX('Storage Tariffs (Iberia)'!$A$1:$T$217,MATCH($C$64,'Storage Tariffs (Iberia)'!$A$1:$A$217,0),U$63)</f>
        <v>#N/A</v>
      </c>
      <c r="V66" s="203">
        <v>44982</v>
      </c>
    </row>
    <row r="67" spans="3:22" ht="18.75" thickBot="1">
      <c r="C67" s="201" t="e" cm="1">
        <f t="array" ref="C67">IF((INDEX('Storage Tariffs (Iberia)'!$A:$B,MATCH('DD Calculator(Iberia)'!$D$8,'Storage Tariffs (Iberia)'!$A:$A,0)+3,1)=$D$8),INDEX('Storage Tariffs (Iberia)'!$A:$B,MATCH('DD Calculator(Iberia)'!$D$8,'Storage Tariffs (Iberia)'!$A:$A,0)+3,2),0)</f>
        <v>#N/A</v>
      </c>
      <c r="D67" s="198" t="e">
        <f>INDEX('Storage Tariffs (Iberia)'!$A$1:$T$217,MATCH($C$64,'Storage Tariffs (Iberia)'!$A$1:$A$217,0)+1,D$63)</f>
        <v>#N/A</v>
      </c>
      <c r="E67" s="198" t="e">
        <f>INDEX('Storage Tariffs (Iberia)'!$A$1:$T$217,MATCH($C$64,'Storage Tariffs (Iberia)'!$A$1:$A$217,0)+1,E$63)</f>
        <v>#N/A</v>
      </c>
      <c r="F67" s="198" t="e">
        <f>INDEX('Storage Tariffs (Iberia)'!$A$1:$T$217,MATCH($C$64,'Storage Tariffs (Iberia)'!$A$1:$A$217,0)+1,F$63)</f>
        <v>#N/A</v>
      </c>
      <c r="G67" s="198" t="e">
        <f>INDEX('Storage Tariffs (Iberia)'!$A$1:$T$217,MATCH($C$64,'Storage Tariffs (Iberia)'!$A$1:$A$217,0)+1,G$63)</f>
        <v>#N/A</v>
      </c>
      <c r="H67" s="198" t="e">
        <f>INDEX('Storage Tariffs (Iberia)'!$A$1:$T$217,MATCH($C$64,'Storage Tariffs (Iberia)'!$A$1:$A$217,0)+1,H$63)</f>
        <v>#N/A</v>
      </c>
      <c r="I67" s="198" t="e">
        <f>INDEX('Storage Tariffs (Iberia)'!$A$1:$T$217,MATCH($C$64,'Storage Tariffs (Iberia)'!$A$1:$A$217,0)+1,I$63)</f>
        <v>#N/A</v>
      </c>
      <c r="J67" s="198" t="e">
        <f>INDEX('Storage Tariffs (Iberia)'!$A$1:$T$217,MATCH($C$64,'Storage Tariffs (Iberia)'!$A$1:$A$217,0)+1,J$63)</f>
        <v>#N/A</v>
      </c>
      <c r="K67" s="198" t="e">
        <f>INDEX('Storage Tariffs (Iberia)'!$A$1:$T$217,MATCH($C$64,'Storage Tariffs (Iberia)'!$A$1:$A$217,0)+1,K$63)</f>
        <v>#N/A</v>
      </c>
      <c r="L67" s="198" t="e">
        <f>INDEX('Storage Tariffs (Iberia)'!$A$1:$T$217,MATCH($C$64,'Storage Tariffs (Iberia)'!$A$1:$A$217,0)+1,L$63)</f>
        <v>#N/A</v>
      </c>
      <c r="M67" s="198" t="e">
        <f>INDEX('Storage Tariffs (Iberia)'!$A$1:$T$217,MATCH($C$64,'Storage Tariffs (Iberia)'!$A$1:$A$217,0)+1,M$63)</f>
        <v>#N/A</v>
      </c>
      <c r="N67" s="198" t="e">
        <f>INDEX('Storage Tariffs (Iberia)'!$A$1:$T$217,MATCH($C$64,'Storage Tariffs (Iberia)'!$A$1:$A$217,0)+1,N$63)</f>
        <v>#N/A</v>
      </c>
      <c r="O67" s="198" t="e">
        <f>INDEX('Storage Tariffs (Iberia)'!$A$1:$T$217,MATCH($C$64,'Storage Tariffs (Iberia)'!$A$1:$A$217,0)+1,O$63)</f>
        <v>#N/A</v>
      </c>
      <c r="P67" s="198" t="e">
        <f>INDEX('Storage Tariffs (Iberia)'!$A$1:$T$217,MATCH($C$64,'Storage Tariffs (Iberia)'!$A$1:$A$217,0)+1,P$63)</f>
        <v>#N/A</v>
      </c>
      <c r="Q67" s="198" t="e">
        <f>INDEX('Storage Tariffs (Iberia)'!$A$1:$T$217,MATCH($C$64,'Storage Tariffs (Iberia)'!$A$1:$A$217,0)+1,Q$63)</f>
        <v>#N/A</v>
      </c>
      <c r="R67" s="198" t="e">
        <f>INDEX('Storage Tariffs (Iberia)'!$A$1:$T$217,MATCH($C$64,'Storage Tariffs (Iberia)'!$A$1:$A$217,0)+1,R$63)</f>
        <v>#N/A</v>
      </c>
      <c r="S67" s="198" t="e">
        <f>INDEX('Storage Tariffs (Iberia)'!$A$1:$T$217,MATCH($C$64,'Storage Tariffs (Iberia)'!$A$1:$A$217,0)+1,S$63)</f>
        <v>#N/A</v>
      </c>
      <c r="T67" s="198" t="e">
        <f>INDEX('Storage Tariffs (Iberia)'!$A$1:$T$217,MATCH($C$64,'Storage Tariffs (Iberia)'!$A$1:$A$217,0)+1,T$63)</f>
        <v>#N/A</v>
      </c>
      <c r="U67" s="199" t="e">
        <f>INDEX('Storage Tariffs (Iberia)'!$A$1:$T$217,MATCH($C$64,'Storage Tariffs (Iberia)'!$A$1:$A$217,0)+1,U$63)</f>
        <v>#N/A</v>
      </c>
      <c r="V67" s="203">
        <v>44983</v>
      </c>
    </row>
    <row r="68" spans="3:22" ht="15.75" thickBot="1">
      <c r="D68" s="175"/>
      <c r="E68" s="175"/>
      <c r="F68" s="175"/>
      <c r="G68" s="175"/>
      <c r="H68" s="175"/>
      <c r="I68" s="175"/>
      <c r="J68" s="175"/>
      <c r="K68" s="175"/>
      <c r="L68" s="175"/>
      <c r="M68" s="175"/>
      <c r="N68" s="175"/>
      <c r="O68" s="175"/>
      <c r="V68" s="203">
        <v>44984</v>
      </c>
    </row>
    <row r="69" spans="3:22" ht="14.45" customHeight="1">
      <c r="D69" s="603" t="s">
        <v>221</v>
      </c>
      <c r="E69" s="604"/>
      <c r="F69" s="604"/>
      <c r="G69" s="604"/>
      <c r="H69" s="604"/>
      <c r="I69" s="604"/>
      <c r="J69" s="604"/>
      <c r="K69" s="604"/>
      <c r="L69" s="604"/>
      <c r="M69" s="604"/>
      <c r="N69" s="604"/>
      <c r="O69" s="604"/>
      <c r="P69" s="604"/>
      <c r="Q69" s="604"/>
      <c r="R69" s="605"/>
      <c r="V69" s="203">
        <v>44985</v>
      </c>
    </row>
    <row r="70" spans="3:22" ht="14.45" customHeight="1">
      <c r="D70" s="606"/>
      <c r="E70" s="607"/>
      <c r="F70" s="607"/>
      <c r="G70" s="607"/>
      <c r="H70" s="607"/>
      <c r="I70" s="607"/>
      <c r="J70" s="607"/>
      <c r="K70" s="607"/>
      <c r="L70" s="607"/>
      <c r="M70" s="607"/>
      <c r="N70" s="607"/>
      <c r="O70" s="607"/>
      <c r="P70" s="607"/>
      <c r="Q70" s="607"/>
      <c r="R70" s="608"/>
      <c r="V70" s="203">
        <v>44986</v>
      </c>
    </row>
    <row r="71" spans="3:22" ht="14.45" customHeight="1">
      <c r="D71" s="606"/>
      <c r="E71" s="607"/>
      <c r="F71" s="607"/>
      <c r="G71" s="607"/>
      <c r="H71" s="607"/>
      <c r="I71" s="607"/>
      <c r="J71" s="607"/>
      <c r="K71" s="607"/>
      <c r="L71" s="607"/>
      <c r="M71" s="607"/>
      <c r="N71" s="607"/>
      <c r="O71" s="607"/>
      <c r="P71" s="607"/>
      <c r="Q71" s="607"/>
      <c r="R71" s="608"/>
      <c r="V71" s="203">
        <v>44987</v>
      </c>
    </row>
    <row r="72" spans="3:22" ht="14.45" customHeight="1">
      <c r="D72" s="606"/>
      <c r="E72" s="607"/>
      <c r="F72" s="607"/>
      <c r="G72" s="607"/>
      <c r="H72" s="607"/>
      <c r="I72" s="607"/>
      <c r="J72" s="607"/>
      <c r="K72" s="607"/>
      <c r="L72" s="607"/>
      <c r="M72" s="607"/>
      <c r="N72" s="607"/>
      <c r="O72" s="607"/>
      <c r="P72" s="607"/>
      <c r="Q72" s="607"/>
      <c r="R72" s="608"/>
      <c r="V72" s="203">
        <v>44988</v>
      </c>
    </row>
    <row r="73" spans="3:22" ht="14.45" customHeight="1">
      <c r="D73" s="606"/>
      <c r="E73" s="607"/>
      <c r="F73" s="607"/>
      <c r="G73" s="607"/>
      <c r="H73" s="607"/>
      <c r="I73" s="607"/>
      <c r="J73" s="607"/>
      <c r="K73" s="607"/>
      <c r="L73" s="607"/>
      <c r="M73" s="607"/>
      <c r="N73" s="607"/>
      <c r="O73" s="607"/>
      <c r="P73" s="607"/>
      <c r="Q73" s="607"/>
      <c r="R73" s="608"/>
      <c r="V73" s="203">
        <v>44989</v>
      </c>
    </row>
    <row r="74" spans="3:22" ht="14.45" customHeight="1">
      <c r="D74" s="606"/>
      <c r="E74" s="607"/>
      <c r="F74" s="607"/>
      <c r="G74" s="607"/>
      <c r="H74" s="607"/>
      <c r="I74" s="607"/>
      <c r="J74" s="607"/>
      <c r="K74" s="607"/>
      <c r="L74" s="607"/>
      <c r="M74" s="607"/>
      <c r="N74" s="607"/>
      <c r="O74" s="607"/>
      <c r="P74" s="607"/>
      <c r="Q74" s="607"/>
      <c r="R74" s="608"/>
      <c r="V74" s="203">
        <v>44990</v>
      </c>
    </row>
    <row r="75" spans="3:22" ht="14.45" customHeight="1">
      <c r="D75" s="606"/>
      <c r="E75" s="607"/>
      <c r="F75" s="607"/>
      <c r="G75" s="607"/>
      <c r="H75" s="607"/>
      <c r="I75" s="607"/>
      <c r="J75" s="607"/>
      <c r="K75" s="607"/>
      <c r="L75" s="607"/>
      <c r="M75" s="607"/>
      <c r="N75" s="607"/>
      <c r="O75" s="607"/>
      <c r="P75" s="607"/>
      <c r="Q75" s="607"/>
      <c r="R75" s="608"/>
      <c r="V75" s="203">
        <v>44991</v>
      </c>
    </row>
    <row r="76" spans="3:22" ht="14.45" customHeight="1">
      <c r="D76" s="606"/>
      <c r="E76" s="607"/>
      <c r="F76" s="607"/>
      <c r="G76" s="607"/>
      <c r="H76" s="607"/>
      <c r="I76" s="607"/>
      <c r="J76" s="607"/>
      <c r="K76" s="607"/>
      <c r="L76" s="607"/>
      <c r="M76" s="607"/>
      <c r="N76" s="607"/>
      <c r="O76" s="607"/>
      <c r="P76" s="607"/>
      <c r="Q76" s="607"/>
      <c r="R76" s="608"/>
      <c r="V76" s="203">
        <v>44992</v>
      </c>
    </row>
    <row r="77" spans="3:22" ht="14.45" customHeight="1">
      <c r="D77" s="606"/>
      <c r="E77" s="607"/>
      <c r="F77" s="607"/>
      <c r="G77" s="607"/>
      <c r="H77" s="607"/>
      <c r="I77" s="607"/>
      <c r="J77" s="607"/>
      <c r="K77" s="607"/>
      <c r="L77" s="607"/>
      <c r="M77" s="607"/>
      <c r="N77" s="607"/>
      <c r="O77" s="607"/>
      <c r="P77" s="607"/>
      <c r="Q77" s="607"/>
      <c r="R77" s="608"/>
      <c r="V77" s="203">
        <v>44993</v>
      </c>
    </row>
    <row r="78" spans="3:22" ht="14.45" customHeight="1">
      <c r="D78" s="606"/>
      <c r="E78" s="607"/>
      <c r="F78" s="607"/>
      <c r="G78" s="607"/>
      <c r="H78" s="607"/>
      <c r="I78" s="607"/>
      <c r="J78" s="607"/>
      <c r="K78" s="607"/>
      <c r="L78" s="607"/>
      <c r="M78" s="607"/>
      <c r="N78" s="607"/>
      <c r="O78" s="607"/>
      <c r="P78" s="607"/>
      <c r="Q78" s="607"/>
      <c r="R78" s="608"/>
      <c r="V78" s="203">
        <v>44994</v>
      </c>
    </row>
    <row r="79" spans="3:22" ht="14.45" customHeight="1">
      <c r="D79" s="606"/>
      <c r="E79" s="607"/>
      <c r="F79" s="607"/>
      <c r="G79" s="607"/>
      <c r="H79" s="607"/>
      <c r="I79" s="607"/>
      <c r="J79" s="607"/>
      <c r="K79" s="607"/>
      <c r="L79" s="607"/>
      <c r="M79" s="607"/>
      <c r="N79" s="607"/>
      <c r="O79" s="607"/>
      <c r="P79" s="607"/>
      <c r="Q79" s="607"/>
      <c r="R79" s="608"/>
      <c r="V79" s="203">
        <v>44995</v>
      </c>
    </row>
    <row r="80" spans="3:22" ht="14.45" customHeight="1">
      <c r="D80" s="606"/>
      <c r="E80" s="607"/>
      <c r="F80" s="607"/>
      <c r="G80" s="607"/>
      <c r="H80" s="607"/>
      <c r="I80" s="607"/>
      <c r="J80" s="607"/>
      <c r="K80" s="607"/>
      <c r="L80" s="607"/>
      <c r="M80" s="607"/>
      <c r="N80" s="607"/>
      <c r="O80" s="607"/>
      <c r="P80" s="607"/>
      <c r="Q80" s="607"/>
      <c r="R80" s="608"/>
      <c r="V80" s="203">
        <v>44996</v>
      </c>
    </row>
    <row r="81" spans="4:22" ht="14.45" customHeight="1">
      <c r="D81" s="606"/>
      <c r="E81" s="607"/>
      <c r="F81" s="607"/>
      <c r="G81" s="607"/>
      <c r="H81" s="607"/>
      <c r="I81" s="607"/>
      <c r="J81" s="607"/>
      <c r="K81" s="607"/>
      <c r="L81" s="607"/>
      <c r="M81" s="607"/>
      <c r="N81" s="607"/>
      <c r="O81" s="607"/>
      <c r="P81" s="607"/>
      <c r="Q81" s="607"/>
      <c r="R81" s="608"/>
      <c r="V81" s="203">
        <v>44997</v>
      </c>
    </row>
    <row r="82" spans="4:22" ht="14.45" customHeight="1">
      <c r="D82" s="606"/>
      <c r="E82" s="607"/>
      <c r="F82" s="607"/>
      <c r="G82" s="607"/>
      <c r="H82" s="607"/>
      <c r="I82" s="607"/>
      <c r="J82" s="607"/>
      <c r="K82" s="607"/>
      <c r="L82" s="607"/>
      <c r="M82" s="607"/>
      <c r="N82" s="607"/>
      <c r="O82" s="607"/>
      <c r="P82" s="607"/>
      <c r="Q82" s="607"/>
      <c r="R82" s="608"/>
      <c r="V82" s="203">
        <v>44998</v>
      </c>
    </row>
    <row r="83" spans="4:22" ht="14.45" customHeight="1">
      <c r="D83" s="606"/>
      <c r="E83" s="607"/>
      <c r="F83" s="607"/>
      <c r="G83" s="607"/>
      <c r="H83" s="607"/>
      <c r="I83" s="607"/>
      <c r="J83" s="607"/>
      <c r="K83" s="607"/>
      <c r="L83" s="607"/>
      <c r="M83" s="607"/>
      <c r="N83" s="607"/>
      <c r="O83" s="607"/>
      <c r="P83" s="607"/>
      <c r="Q83" s="607"/>
      <c r="R83" s="608"/>
      <c r="V83" s="203">
        <v>44999</v>
      </c>
    </row>
    <row r="84" spans="4:22" ht="14.45" customHeight="1">
      <c r="D84" s="606"/>
      <c r="E84" s="607"/>
      <c r="F84" s="607"/>
      <c r="G84" s="607"/>
      <c r="H84" s="607"/>
      <c r="I84" s="607"/>
      <c r="J84" s="607"/>
      <c r="K84" s="607"/>
      <c r="L84" s="607"/>
      <c r="M84" s="607"/>
      <c r="N84" s="607"/>
      <c r="O84" s="607"/>
      <c r="P84" s="607"/>
      <c r="Q84" s="607"/>
      <c r="R84" s="608"/>
      <c r="V84" s="203">
        <v>45000</v>
      </c>
    </row>
    <row r="85" spans="4:22" ht="14.45" customHeight="1">
      <c r="D85" s="606"/>
      <c r="E85" s="607"/>
      <c r="F85" s="607"/>
      <c r="G85" s="607"/>
      <c r="H85" s="607"/>
      <c r="I85" s="607"/>
      <c r="J85" s="607"/>
      <c r="K85" s="607"/>
      <c r="L85" s="607"/>
      <c r="M85" s="607"/>
      <c r="N85" s="607"/>
      <c r="O85" s="607"/>
      <c r="P85" s="607"/>
      <c r="Q85" s="607"/>
      <c r="R85" s="608"/>
      <c r="V85" s="203">
        <v>45001</v>
      </c>
    </row>
    <row r="86" spans="4:22" ht="14.45" customHeight="1">
      <c r="D86" s="606"/>
      <c r="E86" s="607"/>
      <c r="F86" s="607"/>
      <c r="G86" s="607"/>
      <c r="H86" s="607"/>
      <c r="I86" s="607"/>
      <c r="J86" s="607"/>
      <c r="K86" s="607"/>
      <c r="L86" s="607"/>
      <c r="M86" s="607"/>
      <c r="N86" s="607"/>
      <c r="O86" s="607"/>
      <c r="P86" s="607"/>
      <c r="Q86" s="607"/>
      <c r="R86" s="608"/>
      <c r="V86" s="203">
        <v>45002</v>
      </c>
    </row>
    <row r="87" spans="4:22" ht="14.45" customHeight="1">
      <c r="D87" s="606"/>
      <c r="E87" s="607"/>
      <c r="F87" s="607"/>
      <c r="G87" s="607"/>
      <c r="H87" s="607"/>
      <c r="I87" s="607"/>
      <c r="J87" s="607"/>
      <c r="K87" s="607"/>
      <c r="L87" s="607"/>
      <c r="M87" s="607"/>
      <c r="N87" s="607"/>
      <c r="O87" s="607"/>
      <c r="P87" s="607"/>
      <c r="Q87" s="607"/>
      <c r="R87" s="608"/>
      <c r="V87" s="203">
        <v>45003</v>
      </c>
    </row>
    <row r="88" spans="4:22" ht="14.45" customHeight="1">
      <c r="D88" s="606"/>
      <c r="E88" s="607"/>
      <c r="F88" s="607"/>
      <c r="G88" s="607"/>
      <c r="H88" s="607"/>
      <c r="I88" s="607"/>
      <c r="J88" s="607"/>
      <c r="K88" s="607"/>
      <c r="L88" s="607"/>
      <c r="M88" s="607"/>
      <c r="N88" s="607"/>
      <c r="O88" s="607"/>
      <c r="P88" s="607"/>
      <c r="Q88" s="607"/>
      <c r="R88" s="608"/>
      <c r="V88" s="203">
        <v>45004</v>
      </c>
    </row>
    <row r="89" spans="4:22" ht="14.45" customHeight="1">
      <c r="D89" s="606"/>
      <c r="E89" s="607"/>
      <c r="F89" s="607"/>
      <c r="G89" s="607"/>
      <c r="H89" s="607"/>
      <c r="I89" s="607"/>
      <c r="J89" s="607"/>
      <c r="K89" s="607"/>
      <c r="L89" s="607"/>
      <c r="M89" s="607"/>
      <c r="N89" s="607"/>
      <c r="O89" s="607"/>
      <c r="P89" s="607"/>
      <c r="Q89" s="607"/>
      <c r="R89" s="608"/>
      <c r="V89" s="203">
        <v>45005</v>
      </c>
    </row>
    <row r="90" spans="4:22" ht="14.45" customHeight="1" thickBot="1">
      <c r="D90" s="609"/>
      <c r="E90" s="610"/>
      <c r="F90" s="610"/>
      <c r="G90" s="610"/>
      <c r="H90" s="610"/>
      <c r="I90" s="610"/>
      <c r="J90" s="610"/>
      <c r="K90" s="610"/>
      <c r="L90" s="610"/>
      <c r="M90" s="610"/>
      <c r="N90" s="610"/>
      <c r="O90" s="610"/>
      <c r="P90" s="610"/>
      <c r="Q90" s="610"/>
      <c r="R90" s="611"/>
      <c r="V90" s="203">
        <v>45006</v>
      </c>
    </row>
    <row r="91" spans="4:22">
      <c r="V91" s="203">
        <v>45007</v>
      </c>
    </row>
    <row r="92" spans="4:22">
      <c r="V92" s="203">
        <v>45008</v>
      </c>
    </row>
    <row r="93" spans="4:22">
      <c r="V93" s="203">
        <v>45009</v>
      </c>
    </row>
    <row r="94" spans="4:22">
      <c r="V94" s="203">
        <v>45010</v>
      </c>
    </row>
    <row r="95" spans="4:22">
      <c r="V95" s="203">
        <v>45011</v>
      </c>
    </row>
    <row r="96" spans="4:22">
      <c r="V96" s="203">
        <v>45012</v>
      </c>
    </row>
    <row r="97" spans="22:22">
      <c r="V97" s="203">
        <v>45013</v>
      </c>
    </row>
    <row r="98" spans="22:22">
      <c r="V98" s="203">
        <v>45014</v>
      </c>
    </row>
    <row r="99" spans="22:22">
      <c r="V99" s="203">
        <v>45015</v>
      </c>
    </row>
    <row r="100" spans="22:22">
      <c r="V100" s="203">
        <v>45016</v>
      </c>
    </row>
    <row r="101" spans="22:22">
      <c r="V101" s="203">
        <v>45017</v>
      </c>
    </row>
    <row r="102" spans="22:22">
      <c r="V102" s="203">
        <v>45018</v>
      </c>
    </row>
    <row r="103" spans="22:22">
      <c r="V103" s="203">
        <v>45019</v>
      </c>
    </row>
    <row r="104" spans="22:22">
      <c r="V104" s="203">
        <v>45020</v>
      </c>
    </row>
    <row r="105" spans="22:22">
      <c r="V105" s="203">
        <v>45021</v>
      </c>
    </row>
    <row r="106" spans="22:22">
      <c r="V106" s="203">
        <v>45022</v>
      </c>
    </row>
    <row r="107" spans="22:22">
      <c r="V107" s="203">
        <v>45023</v>
      </c>
    </row>
    <row r="108" spans="22:22">
      <c r="V108" s="203">
        <v>45024</v>
      </c>
    </row>
    <row r="109" spans="22:22">
      <c r="V109" s="203">
        <v>45025</v>
      </c>
    </row>
    <row r="110" spans="22:22">
      <c r="V110" s="203">
        <v>45026</v>
      </c>
    </row>
    <row r="111" spans="22:22">
      <c r="V111" s="203">
        <v>45027</v>
      </c>
    </row>
    <row r="112" spans="22:22">
      <c r="V112" s="203">
        <v>45028</v>
      </c>
    </row>
    <row r="113" spans="22:22">
      <c r="V113" s="203">
        <v>45029</v>
      </c>
    </row>
    <row r="114" spans="22:22">
      <c r="V114" s="203">
        <v>45030</v>
      </c>
    </row>
    <row r="115" spans="22:22">
      <c r="V115" s="203">
        <v>45031</v>
      </c>
    </row>
    <row r="116" spans="22:22">
      <c r="V116" s="203">
        <v>45032</v>
      </c>
    </row>
    <row r="117" spans="22:22">
      <c r="V117" s="203">
        <v>45033</v>
      </c>
    </row>
    <row r="118" spans="22:22">
      <c r="V118" s="203">
        <v>45034</v>
      </c>
    </row>
    <row r="119" spans="22:22">
      <c r="V119" s="203">
        <v>45035</v>
      </c>
    </row>
    <row r="120" spans="22:22">
      <c r="V120" s="203">
        <v>45036</v>
      </c>
    </row>
    <row r="121" spans="22:22">
      <c r="V121" s="203">
        <v>45037</v>
      </c>
    </row>
    <row r="122" spans="22:22">
      <c r="V122" s="203">
        <v>45038</v>
      </c>
    </row>
    <row r="123" spans="22:22">
      <c r="V123" s="203">
        <v>45039</v>
      </c>
    </row>
    <row r="124" spans="22:22">
      <c r="V124" s="203">
        <v>45040</v>
      </c>
    </row>
    <row r="125" spans="22:22">
      <c r="V125" s="203">
        <v>45041</v>
      </c>
    </row>
    <row r="126" spans="22:22">
      <c r="V126" s="203">
        <v>45042</v>
      </c>
    </row>
    <row r="127" spans="22:22">
      <c r="V127" s="203">
        <v>45043</v>
      </c>
    </row>
    <row r="128" spans="22:22">
      <c r="V128" s="203">
        <v>45044</v>
      </c>
    </row>
    <row r="129" spans="22:22">
      <c r="V129" s="203">
        <v>45045</v>
      </c>
    </row>
    <row r="130" spans="22:22">
      <c r="V130" s="203">
        <v>45046</v>
      </c>
    </row>
    <row r="131" spans="22:22">
      <c r="V131" s="203">
        <v>45047</v>
      </c>
    </row>
    <row r="132" spans="22:22">
      <c r="V132" s="203">
        <v>45048</v>
      </c>
    </row>
    <row r="133" spans="22:22">
      <c r="V133" s="203">
        <v>45049</v>
      </c>
    </row>
    <row r="134" spans="22:22">
      <c r="V134" s="203">
        <v>45050</v>
      </c>
    </row>
    <row r="135" spans="22:22">
      <c r="V135" s="203">
        <v>45051</v>
      </c>
    </row>
    <row r="136" spans="22:22">
      <c r="V136" s="203">
        <v>45052</v>
      </c>
    </row>
    <row r="137" spans="22:22">
      <c r="V137" s="203">
        <v>45053</v>
      </c>
    </row>
    <row r="138" spans="22:22">
      <c r="V138" s="203">
        <v>45054</v>
      </c>
    </row>
    <row r="139" spans="22:22">
      <c r="V139" s="203">
        <v>45055</v>
      </c>
    </row>
    <row r="140" spans="22:22">
      <c r="V140" s="203">
        <v>45056</v>
      </c>
    </row>
    <row r="141" spans="22:22">
      <c r="V141" s="203">
        <v>45057</v>
      </c>
    </row>
    <row r="142" spans="22:22">
      <c r="V142" s="203">
        <v>45058</v>
      </c>
    </row>
    <row r="143" spans="22:22">
      <c r="V143" s="203">
        <v>45059</v>
      </c>
    </row>
    <row r="144" spans="22:22">
      <c r="V144" s="203">
        <v>45060</v>
      </c>
    </row>
    <row r="145" spans="22:22">
      <c r="V145" s="203">
        <v>45061</v>
      </c>
    </row>
    <row r="146" spans="22:22">
      <c r="V146" s="203">
        <v>45062</v>
      </c>
    </row>
    <row r="147" spans="22:22">
      <c r="V147" s="203">
        <v>45063</v>
      </c>
    </row>
    <row r="148" spans="22:22">
      <c r="V148" s="203">
        <v>45064</v>
      </c>
    </row>
    <row r="149" spans="22:22">
      <c r="V149" s="203">
        <v>45065</v>
      </c>
    </row>
    <row r="150" spans="22:22">
      <c r="V150" s="203">
        <v>45066</v>
      </c>
    </row>
    <row r="151" spans="22:22">
      <c r="V151" s="203">
        <v>45067</v>
      </c>
    </row>
    <row r="152" spans="22:22">
      <c r="V152" s="203">
        <v>45068</v>
      </c>
    </row>
    <row r="153" spans="22:22">
      <c r="V153" s="203">
        <v>45069</v>
      </c>
    </row>
    <row r="154" spans="22:22">
      <c r="V154" s="203">
        <v>45070</v>
      </c>
    </row>
    <row r="155" spans="22:22">
      <c r="V155" s="203">
        <v>45071</v>
      </c>
    </row>
    <row r="156" spans="22:22">
      <c r="V156" s="203">
        <v>45072</v>
      </c>
    </row>
    <row r="157" spans="22:22">
      <c r="V157" s="203">
        <v>45073</v>
      </c>
    </row>
    <row r="158" spans="22:22">
      <c r="V158" s="203">
        <v>45074</v>
      </c>
    </row>
    <row r="159" spans="22:22">
      <c r="V159" s="203">
        <v>45075</v>
      </c>
    </row>
    <row r="160" spans="22:22">
      <c r="V160" s="203">
        <v>45076</v>
      </c>
    </row>
    <row r="161" spans="22:22">
      <c r="V161" s="203">
        <v>45077</v>
      </c>
    </row>
    <row r="162" spans="22:22">
      <c r="V162" s="203">
        <v>45078</v>
      </c>
    </row>
    <row r="163" spans="22:22">
      <c r="V163" s="203">
        <v>45079</v>
      </c>
    </row>
    <row r="164" spans="22:22">
      <c r="V164" s="203">
        <v>45080</v>
      </c>
    </row>
    <row r="165" spans="22:22">
      <c r="V165" s="203">
        <v>45081</v>
      </c>
    </row>
    <row r="166" spans="22:22">
      <c r="V166" s="203">
        <v>45082</v>
      </c>
    </row>
    <row r="167" spans="22:22">
      <c r="V167" s="203">
        <v>45083</v>
      </c>
    </row>
    <row r="168" spans="22:22">
      <c r="V168" s="203">
        <v>45084</v>
      </c>
    </row>
    <row r="169" spans="22:22">
      <c r="V169" s="203">
        <v>45085</v>
      </c>
    </row>
    <row r="170" spans="22:22">
      <c r="V170" s="203">
        <v>45086</v>
      </c>
    </row>
    <row r="171" spans="22:22">
      <c r="V171" s="203">
        <v>45087</v>
      </c>
    </row>
    <row r="172" spans="22:22">
      <c r="V172" s="203">
        <v>45088</v>
      </c>
    </row>
    <row r="173" spans="22:22">
      <c r="V173" s="203">
        <v>45089</v>
      </c>
    </row>
    <row r="174" spans="22:22">
      <c r="V174" s="203">
        <v>45090</v>
      </c>
    </row>
    <row r="175" spans="22:22">
      <c r="V175" s="203">
        <v>45091</v>
      </c>
    </row>
    <row r="176" spans="22:22">
      <c r="V176" s="203">
        <v>45092</v>
      </c>
    </row>
    <row r="177" spans="22:22">
      <c r="V177" s="203">
        <v>45093</v>
      </c>
    </row>
    <row r="178" spans="22:22">
      <c r="V178" s="203">
        <v>45094</v>
      </c>
    </row>
    <row r="179" spans="22:22">
      <c r="V179" s="203">
        <v>45095</v>
      </c>
    </row>
    <row r="180" spans="22:22">
      <c r="V180" s="203">
        <v>45096</v>
      </c>
    </row>
    <row r="181" spans="22:22">
      <c r="V181" s="203">
        <v>45097</v>
      </c>
    </row>
    <row r="182" spans="22:22">
      <c r="V182" s="203">
        <v>45098</v>
      </c>
    </row>
    <row r="183" spans="22:22">
      <c r="V183" s="203">
        <v>45099</v>
      </c>
    </row>
    <row r="184" spans="22:22">
      <c r="V184" s="203">
        <v>45100</v>
      </c>
    </row>
    <row r="185" spans="22:22">
      <c r="V185" s="203">
        <v>45101</v>
      </c>
    </row>
    <row r="186" spans="22:22">
      <c r="V186" s="203">
        <v>45102</v>
      </c>
    </row>
    <row r="187" spans="22:22">
      <c r="V187" s="203">
        <v>45103</v>
      </c>
    </row>
    <row r="188" spans="22:22">
      <c r="V188" s="203">
        <v>45104</v>
      </c>
    </row>
    <row r="189" spans="22:22">
      <c r="V189" s="203">
        <v>45105</v>
      </c>
    </row>
    <row r="190" spans="22:22">
      <c r="V190" s="203">
        <v>45106</v>
      </c>
    </row>
    <row r="191" spans="22:22">
      <c r="V191" s="203">
        <v>45107</v>
      </c>
    </row>
    <row r="192" spans="22:22">
      <c r="V192" s="203">
        <v>45108</v>
      </c>
    </row>
    <row r="193" spans="22:22">
      <c r="V193" s="203">
        <v>45109</v>
      </c>
    </row>
    <row r="194" spans="22:22">
      <c r="V194" s="203">
        <v>45110</v>
      </c>
    </row>
    <row r="195" spans="22:22">
      <c r="V195" s="203">
        <v>45111</v>
      </c>
    </row>
    <row r="196" spans="22:22">
      <c r="V196" s="203">
        <v>45112</v>
      </c>
    </row>
    <row r="197" spans="22:22">
      <c r="V197" s="203">
        <v>45113</v>
      </c>
    </row>
    <row r="198" spans="22:22">
      <c r="V198" s="203">
        <v>45114</v>
      </c>
    </row>
    <row r="199" spans="22:22">
      <c r="V199" s="203">
        <v>45115</v>
      </c>
    </row>
    <row r="200" spans="22:22">
      <c r="V200" s="203">
        <v>45116</v>
      </c>
    </row>
    <row r="201" spans="22:22">
      <c r="V201" s="203">
        <v>45117</v>
      </c>
    </row>
    <row r="202" spans="22:22">
      <c r="V202" s="203">
        <v>45118</v>
      </c>
    </row>
    <row r="203" spans="22:22">
      <c r="V203" s="203">
        <v>45119</v>
      </c>
    </row>
    <row r="204" spans="22:22">
      <c r="V204" s="203">
        <v>45120</v>
      </c>
    </row>
    <row r="205" spans="22:22">
      <c r="V205" s="203">
        <v>45121</v>
      </c>
    </row>
    <row r="206" spans="22:22">
      <c r="V206" s="203">
        <v>45122</v>
      </c>
    </row>
    <row r="207" spans="22:22">
      <c r="V207" s="203">
        <v>45123</v>
      </c>
    </row>
    <row r="208" spans="22:22">
      <c r="V208" s="203">
        <v>45124</v>
      </c>
    </row>
    <row r="209" spans="22:22">
      <c r="V209" s="203">
        <v>45125</v>
      </c>
    </row>
    <row r="210" spans="22:22">
      <c r="V210" s="203">
        <v>45126</v>
      </c>
    </row>
    <row r="211" spans="22:22">
      <c r="V211" s="203">
        <v>45127</v>
      </c>
    </row>
    <row r="212" spans="22:22">
      <c r="V212" s="203">
        <v>45128</v>
      </c>
    </row>
    <row r="213" spans="22:22">
      <c r="V213" s="203">
        <v>45129</v>
      </c>
    </row>
    <row r="214" spans="22:22">
      <c r="V214" s="203">
        <v>45130</v>
      </c>
    </row>
    <row r="215" spans="22:22">
      <c r="V215" s="203">
        <v>45131</v>
      </c>
    </row>
    <row r="216" spans="22:22">
      <c r="V216" s="203">
        <v>45132</v>
      </c>
    </row>
    <row r="217" spans="22:22">
      <c r="V217" s="203">
        <v>45133</v>
      </c>
    </row>
    <row r="218" spans="22:22">
      <c r="V218" s="203">
        <v>45134</v>
      </c>
    </row>
    <row r="219" spans="22:22">
      <c r="V219" s="203">
        <v>45135</v>
      </c>
    </row>
    <row r="220" spans="22:22">
      <c r="V220" s="203">
        <v>45136</v>
      </c>
    </row>
    <row r="221" spans="22:22">
      <c r="V221" s="203">
        <v>45137</v>
      </c>
    </row>
    <row r="222" spans="22:22">
      <c r="V222" s="203">
        <v>45138</v>
      </c>
    </row>
    <row r="223" spans="22:22">
      <c r="V223" s="203">
        <v>45139</v>
      </c>
    </row>
    <row r="224" spans="22:22">
      <c r="V224" s="203">
        <v>45140</v>
      </c>
    </row>
    <row r="225" spans="22:22">
      <c r="V225" s="203">
        <v>45141</v>
      </c>
    </row>
    <row r="226" spans="22:22">
      <c r="V226" s="203">
        <v>45142</v>
      </c>
    </row>
    <row r="227" spans="22:22">
      <c r="V227" s="203">
        <v>45143</v>
      </c>
    </row>
    <row r="228" spans="22:22">
      <c r="V228" s="203">
        <v>45144</v>
      </c>
    </row>
    <row r="229" spans="22:22">
      <c r="V229" s="203">
        <v>45145</v>
      </c>
    </row>
    <row r="230" spans="22:22">
      <c r="V230" s="203">
        <v>45146</v>
      </c>
    </row>
    <row r="231" spans="22:22">
      <c r="V231" s="203">
        <v>45147</v>
      </c>
    </row>
    <row r="232" spans="22:22">
      <c r="V232" s="203">
        <v>45148</v>
      </c>
    </row>
    <row r="233" spans="22:22">
      <c r="V233" s="203">
        <v>45149</v>
      </c>
    </row>
    <row r="234" spans="22:22">
      <c r="V234" s="203">
        <v>45150</v>
      </c>
    </row>
    <row r="235" spans="22:22">
      <c r="V235" s="203">
        <v>45151</v>
      </c>
    </row>
    <row r="236" spans="22:22">
      <c r="V236" s="203">
        <v>45152</v>
      </c>
    </row>
    <row r="237" spans="22:22">
      <c r="V237" s="203">
        <v>45153</v>
      </c>
    </row>
    <row r="238" spans="22:22">
      <c r="V238" s="203">
        <v>45154</v>
      </c>
    </row>
    <row r="239" spans="22:22">
      <c r="V239" s="203">
        <v>45155</v>
      </c>
    </row>
    <row r="240" spans="22:22">
      <c r="V240" s="203">
        <v>45156</v>
      </c>
    </row>
    <row r="241" spans="22:22">
      <c r="V241" s="203">
        <v>45157</v>
      </c>
    </row>
    <row r="242" spans="22:22">
      <c r="V242" s="203">
        <v>45158</v>
      </c>
    </row>
    <row r="243" spans="22:22">
      <c r="V243" s="203">
        <v>45159</v>
      </c>
    </row>
    <row r="244" spans="22:22">
      <c r="V244" s="203">
        <v>45160</v>
      </c>
    </row>
    <row r="245" spans="22:22">
      <c r="V245" s="203">
        <v>45161</v>
      </c>
    </row>
    <row r="246" spans="22:22">
      <c r="V246" s="203">
        <v>45162</v>
      </c>
    </row>
    <row r="247" spans="22:22">
      <c r="V247" s="203">
        <v>45163</v>
      </c>
    </row>
    <row r="248" spans="22:22">
      <c r="V248" s="203">
        <v>45164</v>
      </c>
    </row>
    <row r="249" spans="22:22">
      <c r="V249" s="203">
        <v>45165</v>
      </c>
    </row>
    <row r="250" spans="22:22">
      <c r="V250" s="203">
        <v>45166</v>
      </c>
    </row>
    <row r="251" spans="22:22">
      <c r="V251" s="203">
        <v>45167</v>
      </c>
    </row>
    <row r="252" spans="22:22">
      <c r="V252" s="203">
        <v>45168</v>
      </c>
    </row>
    <row r="253" spans="22:22">
      <c r="V253" s="203">
        <v>45169</v>
      </c>
    </row>
    <row r="254" spans="22:22">
      <c r="V254" s="203">
        <v>45170</v>
      </c>
    </row>
    <row r="255" spans="22:22">
      <c r="V255" s="203">
        <v>45171</v>
      </c>
    </row>
    <row r="256" spans="22:22">
      <c r="V256" s="203">
        <v>45172</v>
      </c>
    </row>
    <row r="257" spans="22:22">
      <c r="V257" s="203">
        <v>45173</v>
      </c>
    </row>
    <row r="258" spans="22:22">
      <c r="V258" s="203">
        <v>45174</v>
      </c>
    </row>
    <row r="259" spans="22:22">
      <c r="V259" s="203">
        <v>45175</v>
      </c>
    </row>
    <row r="260" spans="22:22">
      <c r="V260" s="203">
        <v>45176</v>
      </c>
    </row>
    <row r="261" spans="22:22">
      <c r="V261" s="203">
        <v>45177</v>
      </c>
    </row>
    <row r="262" spans="22:22">
      <c r="V262" s="203">
        <v>45178</v>
      </c>
    </row>
    <row r="263" spans="22:22">
      <c r="V263" s="203">
        <v>45179</v>
      </c>
    </row>
    <row r="264" spans="22:22">
      <c r="V264" s="203">
        <v>45180</v>
      </c>
    </row>
    <row r="265" spans="22:22">
      <c r="V265" s="203">
        <v>45181</v>
      </c>
    </row>
    <row r="266" spans="22:22">
      <c r="V266" s="203">
        <v>45182</v>
      </c>
    </row>
    <row r="267" spans="22:22">
      <c r="V267" s="203">
        <v>45183</v>
      </c>
    </row>
    <row r="268" spans="22:22">
      <c r="V268" s="203">
        <v>45184</v>
      </c>
    </row>
    <row r="269" spans="22:22">
      <c r="V269" s="203">
        <v>45185</v>
      </c>
    </row>
    <row r="270" spans="22:22">
      <c r="V270" s="203">
        <v>45186</v>
      </c>
    </row>
    <row r="271" spans="22:22">
      <c r="V271" s="203">
        <v>45187</v>
      </c>
    </row>
    <row r="272" spans="22:22">
      <c r="V272" s="203">
        <v>45188</v>
      </c>
    </row>
    <row r="273" spans="22:22">
      <c r="V273" s="203">
        <v>45189</v>
      </c>
    </row>
    <row r="274" spans="22:22">
      <c r="V274" s="203">
        <v>45190</v>
      </c>
    </row>
    <row r="275" spans="22:22">
      <c r="V275" s="203">
        <v>45191</v>
      </c>
    </row>
    <row r="276" spans="22:22">
      <c r="V276" s="203">
        <v>45192</v>
      </c>
    </row>
    <row r="277" spans="22:22">
      <c r="V277" s="203">
        <v>45193</v>
      </c>
    </row>
    <row r="278" spans="22:22">
      <c r="V278" s="203">
        <v>45194</v>
      </c>
    </row>
    <row r="279" spans="22:22">
      <c r="V279" s="203">
        <v>45195</v>
      </c>
    </row>
    <row r="280" spans="22:22">
      <c r="V280" s="203">
        <v>45196</v>
      </c>
    </row>
    <row r="281" spans="22:22">
      <c r="V281" s="203">
        <v>45197</v>
      </c>
    </row>
    <row r="282" spans="22:22">
      <c r="V282" s="203">
        <v>45198</v>
      </c>
    </row>
    <row r="283" spans="22:22">
      <c r="V283" s="203">
        <v>45199</v>
      </c>
    </row>
    <row r="284" spans="22:22">
      <c r="V284" s="203">
        <v>45200</v>
      </c>
    </row>
    <row r="285" spans="22:22">
      <c r="V285" s="203">
        <v>45201</v>
      </c>
    </row>
    <row r="286" spans="22:22">
      <c r="V286" s="203">
        <v>45202</v>
      </c>
    </row>
    <row r="287" spans="22:22">
      <c r="V287" s="203">
        <v>45203</v>
      </c>
    </row>
    <row r="288" spans="22:22">
      <c r="V288" s="203">
        <v>45204</v>
      </c>
    </row>
    <row r="289" spans="22:22">
      <c r="V289" s="203">
        <v>45205</v>
      </c>
    </row>
    <row r="290" spans="22:22">
      <c r="V290" s="203">
        <v>45206</v>
      </c>
    </row>
    <row r="291" spans="22:22">
      <c r="V291" s="203">
        <v>45207</v>
      </c>
    </row>
    <row r="292" spans="22:22">
      <c r="V292" s="203">
        <v>45208</v>
      </c>
    </row>
    <row r="293" spans="22:22">
      <c r="V293" s="203">
        <v>45209</v>
      </c>
    </row>
    <row r="294" spans="22:22">
      <c r="V294" s="203">
        <v>45210</v>
      </c>
    </row>
    <row r="295" spans="22:22">
      <c r="V295" s="203">
        <v>45211</v>
      </c>
    </row>
    <row r="296" spans="22:22">
      <c r="V296" s="203">
        <v>45212</v>
      </c>
    </row>
    <row r="297" spans="22:22">
      <c r="V297" s="203">
        <v>45213</v>
      </c>
    </row>
    <row r="298" spans="22:22">
      <c r="V298" s="203">
        <v>45214</v>
      </c>
    </row>
    <row r="299" spans="22:22">
      <c r="V299" s="203">
        <v>45215</v>
      </c>
    </row>
    <row r="300" spans="22:22">
      <c r="V300" s="203">
        <v>45216</v>
      </c>
    </row>
    <row r="301" spans="22:22">
      <c r="V301" s="203">
        <v>45217</v>
      </c>
    </row>
    <row r="302" spans="22:22">
      <c r="V302" s="203">
        <v>45218</v>
      </c>
    </row>
    <row r="303" spans="22:22">
      <c r="V303" s="203">
        <v>45219</v>
      </c>
    </row>
    <row r="304" spans="22:22">
      <c r="V304" s="203">
        <v>45220</v>
      </c>
    </row>
    <row r="305" spans="22:22">
      <c r="V305" s="203">
        <v>45221</v>
      </c>
    </row>
    <row r="306" spans="22:22">
      <c r="V306" s="203">
        <v>45222</v>
      </c>
    </row>
    <row r="307" spans="22:22">
      <c r="V307" s="203">
        <v>45223</v>
      </c>
    </row>
    <row r="308" spans="22:22">
      <c r="V308" s="203">
        <v>45224</v>
      </c>
    </row>
    <row r="309" spans="22:22">
      <c r="V309" s="203">
        <v>45225</v>
      </c>
    </row>
    <row r="310" spans="22:22">
      <c r="V310" s="203">
        <v>45226</v>
      </c>
    </row>
    <row r="311" spans="22:22">
      <c r="V311" s="203">
        <v>45227</v>
      </c>
    </row>
    <row r="312" spans="22:22">
      <c r="V312" s="203">
        <v>45228</v>
      </c>
    </row>
    <row r="313" spans="22:22">
      <c r="V313" s="203">
        <v>45229</v>
      </c>
    </row>
    <row r="314" spans="22:22">
      <c r="V314" s="203">
        <v>45230</v>
      </c>
    </row>
    <row r="315" spans="22:22">
      <c r="V315" s="203">
        <v>45231</v>
      </c>
    </row>
    <row r="316" spans="22:22">
      <c r="V316" s="203">
        <v>45232</v>
      </c>
    </row>
    <row r="317" spans="22:22">
      <c r="V317" s="203">
        <v>45233</v>
      </c>
    </row>
    <row r="318" spans="22:22">
      <c r="V318" s="203">
        <v>45234</v>
      </c>
    </row>
    <row r="319" spans="22:22">
      <c r="V319" s="203">
        <v>45235</v>
      </c>
    </row>
    <row r="320" spans="22:22">
      <c r="V320" s="203">
        <v>45236</v>
      </c>
    </row>
    <row r="321" spans="22:22">
      <c r="V321" s="203">
        <v>45237</v>
      </c>
    </row>
    <row r="322" spans="22:22">
      <c r="V322" s="203">
        <v>45238</v>
      </c>
    </row>
    <row r="323" spans="22:22">
      <c r="V323" s="203">
        <v>45239</v>
      </c>
    </row>
    <row r="324" spans="22:22">
      <c r="V324" s="203">
        <v>45240</v>
      </c>
    </row>
    <row r="325" spans="22:22">
      <c r="V325" s="203">
        <v>45241</v>
      </c>
    </row>
    <row r="326" spans="22:22">
      <c r="V326" s="203">
        <v>45242</v>
      </c>
    </row>
    <row r="327" spans="22:22">
      <c r="V327" s="203">
        <v>45243</v>
      </c>
    </row>
    <row r="328" spans="22:22">
      <c r="V328" s="203">
        <v>45244</v>
      </c>
    </row>
    <row r="329" spans="22:22">
      <c r="V329" s="203">
        <v>45245</v>
      </c>
    </row>
    <row r="330" spans="22:22">
      <c r="V330" s="203">
        <v>45246</v>
      </c>
    </row>
    <row r="331" spans="22:22">
      <c r="V331" s="203">
        <v>45247</v>
      </c>
    </row>
    <row r="332" spans="22:22">
      <c r="V332" s="203">
        <v>45248</v>
      </c>
    </row>
    <row r="333" spans="22:22">
      <c r="V333" s="203">
        <v>45249</v>
      </c>
    </row>
    <row r="334" spans="22:22">
      <c r="V334" s="203">
        <v>45250</v>
      </c>
    </row>
    <row r="335" spans="22:22">
      <c r="V335" s="203">
        <v>45251</v>
      </c>
    </row>
    <row r="336" spans="22:22">
      <c r="V336" s="203">
        <v>45252</v>
      </c>
    </row>
    <row r="337" spans="22:22">
      <c r="V337" s="203">
        <v>45253</v>
      </c>
    </row>
    <row r="338" spans="22:22">
      <c r="V338" s="203">
        <v>45254</v>
      </c>
    </row>
    <row r="339" spans="22:22">
      <c r="V339" s="203">
        <v>45255</v>
      </c>
    </row>
    <row r="340" spans="22:22">
      <c r="V340" s="203">
        <v>45256</v>
      </c>
    </row>
    <row r="341" spans="22:22">
      <c r="V341" s="203">
        <v>45257</v>
      </c>
    </row>
    <row r="342" spans="22:22">
      <c r="V342" s="203">
        <v>45258</v>
      </c>
    </row>
    <row r="343" spans="22:22">
      <c r="V343" s="203">
        <v>45259</v>
      </c>
    </row>
    <row r="344" spans="22:22">
      <c r="V344" s="203">
        <v>45260</v>
      </c>
    </row>
    <row r="345" spans="22:22">
      <c r="V345" s="203">
        <v>45261</v>
      </c>
    </row>
    <row r="346" spans="22:22">
      <c r="V346" s="203">
        <v>45262</v>
      </c>
    </row>
    <row r="347" spans="22:22">
      <c r="V347" s="203">
        <v>45263</v>
      </c>
    </row>
    <row r="348" spans="22:22">
      <c r="V348" s="203">
        <v>45264</v>
      </c>
    </row>
    <row r="349" spans="22:22">
      <c r="V349" s="203">
        <v>45265</v>
      </c>
    </row>
    <row r="350" spans="22:22">
      <c r="V350" s="203">
        <v>45266</v>
      </c>
    </row>
    <row r="351" spans="22:22">
      <c r="V351" s="203">
        <v>45267</v>
      </c>
    </row>
    <row r="352" spans="22:22">
      <c r="V352" s="203">
        <v>45268</v>
      </c>
    </row>
    <row r="353" spans="22:22">
      <c r="V353" s="203">
        <v>45269</v>
      </c>
    </row>
    <row r="354" spans="22:22">
      <c r="V354" s="203">
        <v>45270</v>
      </c>
    </row>
    <row r="355" spans="22:22">
      <c r="V355" s="203">
        <v>45271</v>
      </c>
    </row>
    <row r="356" spans="22:22">
      <c r="V356" s="203">
        <v>45272</v>
      </c>
    </row>
    <row r="357" spans="22:22">
      <c r="V357" s="203">
        <v>45273</v>
      </c>
    </row>
    <row r="358" spans="22:22">
      <c r="V358" s="203">
        <v>45274</v>
      </c>
    </row>
    <row r="359" spans="22:22">
      <c r="V359" s="203">
        <v>45275</v>
      </c>
    </row>
    <row r="360" spans="22:22">
      <c r="V360" s="203">
        <v>45276</v>
      </c>
    </row>
    <row r="361" spans="22:22">
      <c r="V361" s="203">
        <v>45277</v>
      </c>
    </row>
    <row r="362" spans="22:22">
      <c r="V362" s="203">
        <v>45278</v>
      </c>
    </row>
    <row r="363" spans="22:22">
      <c r="V363" s="203">
        <v>45279</v>
      </c>
    </row>
    <row r="364" spans="22:22">
      <c r="V364" s="203">
        <v>45280</v>
      </c>
    </row>
    <row r="365" spans="22:22">
      <c r="V365" s="203">
        <v>45281</v>
      </c>
    </row>
    <row r="366" spans="22:22">
      <c r="V366" s="203">
        <v>45282</v>
      </c>
    </row>
    <row r="367" spans="22:22">
      <c r="V367" s="203">
        <v>45283</v>
      </c>
    </row>
    <row r="368" spans="22:22">
      <c r="V368" s="203">
        <v>45284</v>
      </c>
    </row>
    <row r="369" spans="22:22">
      <c r="V369" s="203">
        <v>45285</v>
      </c>
    </row>
    <row r="370" spans="22:22">
      <c r="V370" s="203">
        <v>45286</v>
      </c>
    </row>
    <row r="371" spans="22:22">
      <c r="V371" s="203">
        <v>45287</v>
      </c>
    </row>
    <row r="372" spans="22:22">
      <c r="V372" s="203">
        <v>45288</v>
      </c>
    </row>
    <row r="373" spans="22:22">
      <c r="V373" s="203">
        <v>45289</v>
      </c>
    </row>
    <row r="374" spans="22:22">
      <c r="V374" s="203">
        <v>45290</v>
      </c>
    </row>
    <row r="375" spans="22:22">
      <c r="V375" s="203">
        <v>45291</v>
      </c>
    </row>
    <row r="376" spans="22:22">
      <c r="V376" s="203">
        <v>45292</v>
      </c>
    </row>
    <row r="377" spans="22:22">
      <c r="V377" s="203">
        <v>45293</v>
      </c>
    </row>
    <row r="378" spans="22:22">
      <c r="V378" s="203">
        <v>45294</v>
      </c>
    </row>
    <row r="379" spans="22:22">
      <c r="V379" s="203">
        <v>45295</v>
      </c>
    </row>
    <row r="380" spans="22:22">
      <c r="V380" s="203">
        <v>45296</v>
      </c>
    </row>
    <row r="381" spans="22:22">
      <c r="V381" s="203">
        <v>45297</v>
      </c>
    </row>
    <row r="382" spans="22:22">
      <c r="V382" s="203">
        <v>45298</v>
      </c>
    </row>
    <row r="383" spans="22:22">
      <c r="V383" s="203">
        <v>45299</v>
      </c>
    </row>
    <row r="384" spans="22:22">
      <c r="V384" s="203">
        <v>45300</v>
      </c>
    </row>
    <row r="385" spans="22:22">
      <c r="V385" s="203">
        <v>45301</v>
      </c>
    </row>
    <row r="386" spans="22:22">
      <c r="V386" s="203">
        <v>45302</v>
      </c>
    </row>
    <row r="387" spans="22:22">
      <c r="V387" s="203">
        <v>45303</v>
      </c>
    </row>
    <row r="388" spans="22:22">
      <c r="V388" s="203">
        <v>45304</v>
      </c>
    </row>
    <row r="389" spans="22:22">
      <c r="V389" s="203">
        <v>45305</v>
      </c>
    </row>
    <row r="390" spans="22:22">
      <c r="V390" s="203">
        <v>45306</v>
      </c>
    </row>
    <row r="391" spans="22:22">
      <c r="V391" s="203">
        <v>45307</v>
      </c>
    </row>
    <row r="392" spans="22:22">
      <c r="V392" s="203">
        <v>45308</v>
      </c>
    </row>
    <row r="393" spans="22:22">
      <c r="V393" s="203">
        <v>45309</v>
      </c>
    </row>
    <row r="394" spans="22:22">
      <c r="V394" s="203">
        <v>45310</v>
      </c>
    </row>
    <row r="395" spans="22:22">
      <c r="V395" s="203">
        <v>45311</v>
      </c>
    </row>
    <row r="396" spans="22:22">
      <c r="V396" s="203">
        <v>45312</v>
      </c>
    </row>
    <row r="397" spans="22:22">
      <c r="V397" s="203">
        <v>45313</v>
      </c>
    </row>
    <row r="398" spans="22:22">
      <c r="V398" s="203">
        <v>45314</v>
      </c>
    </row>
    <row r="399" spans="22:22">
      <c r="V399" s="203">
        <v>45315</v>
      </c>
    </row>
    <row r="400" spans="22:22">
      <c r="V400" s="203">
        <v>45316</v>
      </c>
    </row>
    <row r="401" spans="22:22">
      <c r="V401" s="203">
        <v>45317</v>
      </c>
    </row>
    <row r="402" spans="22:22">
      <c r="V402" s="203">
        <v>45318</v>
      </c>
    </row>
    <row r="403" spans="22:22">
      <c r="V403" s="203">
        <v>45319</v>
      </c>
    </row>
    <row r="404" spans="22:22">
      <c r="V404" s="203">
        <v>45320</v>
      </c>
    </row>
    <row r="405" spans="22:22">
      <c r="V405" s="203">
        <v>45321</v>
      </c>
    </row>
    <row r="406" spans="22:22">
      <c r="V406" s="203">
        <v>45322</v>
      </c>
    </row>
    <row r="407" spans="22:22">
      <c r="V407" s="203">
        <v>45323</v>
      </c>
    </row>
    <row r="408" spans="22:22">
      <c r="V408" s="203">
        <v>45324</v>
      </c>
    </row>
    <row r="409" spans="22:22">
      <c r="V409" s="203">
        <v>45325</v>
      </c>
    </row>
    <row r="410" spans="22:22">
      <c r="V410" s="203">
        <v>45326</v>
      </c>
    </row>
    <row r="411" spans="22:22">
      <c r="V411" s="203">
        <v>45327</v>
      </c>
    </row>
    <row r="412" spans="22:22">
      <c r="V412" s="203">
        <v>45328</v>
      </c>
    </row>
    <row r="413" spans="22:22">
      <c r="V413" s="203">
        <v>45329</v>
      </c>
    </row>
    <row r="414" spans="22:22">
      <c r="V414" s="203">
        <v>45330</v>
      </c>
    </row>
    <row r="415" spans="22:22">
      <c r="V415" s="203">
        <v>45331</v>
      </c>
    </row>
    <row r="416" spans="22:22">
      <c r="V416" s="203">
        <v>45332</v>
      </c>
    </row>
    <row r="417" spans="22:22">
      <c r="V417" s="203">
        <v>45333</v>
      </c>
    </row>
    <row r="418" spans="22:22">
      <c r="V418" s="203">
        <v>45334</v>
      </c>
    </row>
    <row r="419" spans="22:22">
      <c r="V419" s="203">
        <v>45335</v>
      </c>
    </row>
    <row r="420" spans="22:22">
      <c r="V420" s="203">
        <v>45336</v>
      </c>
    </row>
    <row r="421" spans="22:22">
      <c r="V421" s="203">
        <v>45337</v>
      </c>
    </row>
    <row r="422" spans="22:22">
      <c r="V422" s="203">
        <v>45338</v>
      </c>
    </row>
    <row r="423" spans="22:22">
      <c r="V423" s="203">
        <v>45339</v>
      </c>
    </row>
    <row r="424" spans="22:22">
      <c r="V424" s="203">
        <v>45340</v>
      </c>
    </row>
    <row r="425" spans="22:22">
      <c r="V425" s="203">
        <v>45341</v>
      </c>
    </row>
    <row r="426" spans="22:22">
      <c r="V426" s="203">
        <v>45342</v>
      </c>
    </row>
    <row r="427" spans="22:22">
      <c r="V427" s="203">
        <v>45343</v>
      </c>
    </row>
    <row r="428" spans="22:22">
      <c r="V428" s="203">
        <v>45344</v>
      </c>
    </row>
    <row r="429" spans="22:22">
      <c r="V429" s="203">
        <v>45345</v>
      </c>
    </row>
    <row r="430" spans="22:22">
      <c r="V430" s="203">
        <v>45346</v>
      </c>
    </row>
    <row r="431" spans="22:22">
      <c r="V431" s="203">
        <v>45347</v>
      </c>
    </row>
    <row r="432" spans="22:22">
      <c r="V432" s="203">
        <v>45348</v>
      </c>
    </row>
    <row r="433" spans="22:22">
      <c r="V433" s="203">
        <v>45349</v>
      </c>
    </row>
    <row r="434" spans="22:22">
      <c r="V434" s="203">
        <v>45350</v>
      </c>
    </row>
    <row r="435" spans="22:22">
      <c r="V435" s="203">
        <v>45352</v>
      </c>
    </row>
    <row r="436" spans="22:22">
      <c r="V436" s="203">
        <v>45353</v>
      </c>
    </row>
    <row r="437" spans="22:22">
      <c r="V437" s="203">
        <v>45354</v>
      </c>
    </row>
    <row r="438" spans="22:22">
      <c r="V438" s="203">
        <v>45355</v>
      </c>
    </row>
    <row r="439" spans="22:22">
      <c r="V439" s="203">
        <v>45356</v>
      </c>
    </row>
    <row r="440" spans="22:22">
      <c r="V440" s="203">
        <v>45357</v>
      </c>
    </row>
    <row r="441" spans="22:22">
      <c r="V441" s="203">
        <v>45358</v>
      </c>
    </row>
    <row r="442" spans="22:22">
      <c r="V442" s="203">
        <v>45359</v>
      </c>
    </row>
    <row r="443" spans="22:22">
      <c r="V443" s="203">
        <v>45360</v>
      </c>
    </row>
    <row r="444" spans="22:22">
      <c r="V444" s="203">
        <v>45361</v>
      </c>
    </row>
    <row r="445" spans="22:22">
      <c r="V445" s="203">
        <v>45362</v>
      </c>
    </row>
    <row r="446" spans="22:22">
      <c r="V446" s="203">
        <v>45363</v>
      </c>
    </row>
    <row r="447" spans="22:22">
      <c r="V447" s="203">
        <v>45364</v>
      </c>
    </row>
    <row r="448" spans="22:22">
      <c r="V448" s="203">
        <v>45365</v>
      </c>
    </row>
    <row r="449" spans="22:22">
      <c r="V449" s="203">
        <v>45366</v>
      </c>
    </row>
    <row r="450" spans="22:22">
      <c r="V450" s="203">
        <v>45367</v>
      </c>
    </row>
    <row r="451" spans="22:22">
      <c r="V451" s="203">
        <v>45368</v>
      </c>
    </row>
    <row r="452" spans="22:22">
      <c r="V452" s="203">
        <v>45369</v>
      </c>
    </row>
    <row r="453" spans="22:22">
      <c r="V453" s="203">
        <v>45370</v>
      </c>
    </row>
    <row r="454" spans="22:22">
      <c r="V454" s="203">
        <v>45371</v>
      </c>
    </row>
    <row r="455" spans="22:22">
      <c r="V455" s="203">
        <v>45372</v>
      </c>
    </row>
    <row r="456" spans="22:22">
      <c r="V456" s="203">
        <v>45373</v>
      </c>
    </row>
    <row r="457" spans="22:22">
      <c r="V457" s="203">
        <v>45374</v>
      </c>
    </row>
    <row r="458" spans="22:22">
      <c r="V458" s="203">
        <v>45375</v>
      </c>
    </row>
    <row r="459" spans="22:22">
      <c r="V459" s="203">
        <v>45376</v>
      </c>
    </row>
    <row r="460" spans="22:22">
      <c r="V460" s="203">
        <v>45377</v>
      </c>
    </row>
    <row r="461" spans="22:22">
      <c r="V461" s="203">
        <v>45378</v>
      </c>
    </row>
    <row r="462" spans="22:22">
      <c r="V462" s="203">
        <v>45379</v>
      </c>
    </row>
    <row r="463" spans="22:22">
      <c r="V463" s="203">
        <v>45380</v>
      </c>
    </row>
    <row r="464" spans="22:22">
      <c r="V464" s="203">
        <v>45381</v>
      </c>
    </row>
    <row r="465" spans="22:22">
      <c r="V465" s="203">
        <v>45382</v>
      </c>
    </row>
    <row r="466" spans="22:22">
      <c r="V466" s="203">
        <v>45383</v>
      </c>
    </row>
    <row r="467" spans="22:22">
      <c r="V467" s="203">
        <v>45384</v>
      </c>
    </row>
    <row r="468" spans="22:22">
      <c r="V468" s="203">
        <v>45385</v>
      </c>
    </row>
    <row r="469" spans="22:22">
      <c r="V469" s="203">
        <v>45386</v>
      </c>
    </row>
    <row r="470" spans="22:22">
      <c r="V470" s="203">
        <v>45387</v>
      </c>
    </row>
    <row r="471" spans="22:22">
      <c r="V471" s="203">
        <v>45388</v>
      </c>
    </row>
    <row r="472" spans="22:22">
      <c r="V472" s="203">
        <v>45389</v>
      </c>
    </row>
    <row r="473" spans="22:22">
      <c r="V473" s="203">
        <v>45390</v>
      </c>
    </row>
    <row r="474" spans="22:22">
      <c r="V474" s="203">
        <v>45391</v>
      </c>
    </row>
    <row r="475" spans="22:22">
      <c r="V475" s="203">
        <v>45392</v>
      </c>
    </row>
    <row r="476" spans="22:22">
      <c r="V476" s="203">
        <v>45393</v>
      </c>
    </row>
    <row r="477" spans="22:22">
      <c r="V477" s="203">
        <v>45394</v>
      </c>
    </row>
    <row r="478" spans="22:22">
      <c r="V478" s="203">
        <v>45395</v>
      </c>
    </row>
    <row r="479" spans="22:22">
      <c r="V479" s="203">
        <v>45396</v>
      </c>
    </row>
    <row r="480" spans="22:22">
      <c r="V480" s="203">
        <v>45397</v>
      </c>
    </row>
    <row r="481" spans="22:22">
      <c r="V481" s="203">
        <v>45398</v>
      </c>
    </row>
    <row r="482" spans="22:22">
      <c r="V482" s="203">
        <v>45399</v>
      </c>
    </row>
    <row r="483" spans="22:22">
      <c r="V483" s="203">
        <v>45400</v>
      </c>
    </row>
    <row r="484" spans="22:22">
      <c r="V484" s="203">
        <v>45401</v>
      </c>
    </row>
    <row r="485" spans="22:22">
      <c r="V485" s="203">
        <v>45402</v>
      </c>
    </row>
    <row r="486" spans="22:22">
      <c r="V486" s="203">
        <v>45403</v>
      </c>
    </row>
    <row r="487" spans="22:22">
      <c r="V487" s="203">
        <v>45404</v>
      </c>
    </row>
    <row r="488" spans="22:22">
      <c r="V488" s="203">
        <v>45405</v>
      </c>
    </row>
    <row r="489" spans="22:22">
      <c r="V489" s="203">
        <v>45406</v>
      </c>
    </row>
    <row r="490" spans="22:22">
      <c r="V490" s="203">
        <v>45407</v>
      </c>
    </row>
    <row r="491" spans="22:22">
      <c r="V491" s="203">
        <v>45408</v>
      </c>
    </row>
    <row r="492" spans="22:22">
      <c r="V492" s="203">
        <v>45409</v>
      </c>
    </row>
    <row r="493" spans="22:22">
      <c r="V493" s="203">
        <v>45410</v>
      </c>
    </row>
    <row r="494" spans="22:22">
      <c r="V494" s="203">
        <v>45411</v>
      </c>
    </row>
    <row r="495" spans="22:22">
      <c r="V495" s="203">
        <v>45412</v>
      </c>
    </row>
    <row r="496" spans="22:22">
      <c r="V496" s="203">
        <v>45413</v>
      </c>
    </row>
    <row r="497" spans="22:22">
      <c r="V497" s="203">
        <v>45414</v>
      </c>
    </row>
    <row r="498" spans="22:22">
      <c r="V498" s="203">
        <v>45415</v>
      </c>
    </row>
    <row r="499" spans="22:22">
      <c r="V499" s="203">
        <v>45416</v>
      </c>
    </row>
    <row r="500" spans="22:22">
      <c r="V500" s="203">
        <v>45417</v>
      </c>
    </row>
    <row r="501" spans="22:22">
      <c r="V501" s="203">
        <v>45418</v>
      </c>
    </row>
    <row r="502" spans="22:22">
      <c r="V502" s="203">
        <v>45419</v>
      </c>
    </row>
    <row r="503" spans="22:22">
      <c r="V503" s="203">
        <v>45420</v>
      </c>
    </row>
    <row r="504" spans="22:22">
      <c r="V504" s="203">
        <v>45421</v>
      </c>
    </row>
    <row r="505" spans="22:22">
      <c r="V505" s="203">
        <v>45422</v>
      </c>
    </row>
    <row r="506" spans="22:22">
      <c r="V506" s="203">
        <v>45423</v>
      </c>
    </row>
    <row r="507" spans="22:22">
      <c r="V507" s="203">
        <v>45424</v>
      </c>
    </row>
    <row r="508" spans="22:22">
      <c r="V508" s="203">
        <v>45425</v>
      </c>
    </row>
    <row r="509" spans="22:22">
      <c r="V509" s="203">
        <v>45426</v>
      </c>
    </row>
    <row r="510" spans="22:22">
      <c r="V510" s="203">
        <v>45427</v>
      </c>
    </row>
    <row r="511" spans="22:22">
      <c r="V511" s="203">
        <v>45428</v>
      </c>
    </row>
    <row r="512" spans="22:22">
      <c r="V512" s="203">
        <v>45429</v>
      </c>
    </row>
    <row r="513" spans="22:22">
      <c r="V513" s="203">
        <v>45430</v>
      </c>
    </row>
    <row r="514" spans="22:22">
      <c r="V514" s="203">
        <v>45431</v>
      </c>
    </row>
    <row r="515" spans="22:22">
      <c r="V515" s="203">
        <v>45432</v>
      </c>
    </row>
    <row r="516" spans="22:22">
      <c r="V516" s="203">
        <v>45433</v>
      </c>
    </row>
    <row r="517" spans="22:22">
      <c r="V517" s="203">
        <v>45434</v>
      </c>
    </row>
    <row r="518" spans="22:22">
      <c r="V518" s="203">
        <v>45435</v>
      </c>
    </row>
    <row r="519" spans="22:22">
      <c r="V519" s="203">
        <v>45436</v>
      </c>
    </row>
    <row r="520" spans="22:22">
      <c r="V520" s="203">
        <v>45437</v>
      </c>
    </row>
    <row r="521" spans="22:22">
      <c r="V521" s="203">
        <v>45438</v>
      </c>
    </row>
    <row r="522" spans="22:22">
      <c r="V522" s="203">
        <v>45439</v>
      </c>
    </row>
    <row r="523" spans="22:22">
      <c r="V523" s="203">
        <v>45440</v>
      </c>
    </row>
    <row r="524" spans="22:22">
      <c r="V524" s="203">
        <v>45441</v>
      </c>
    </row>
    <row r="525" spans="22:22">
      <c r="V525" s="203">
        <v>45442</v>
      </c>
    </row>
    <row r="526" spans="22:22">
      <c r="V526" s="203">
        <v>45443</v>
      </c>
    </row>
    <row r="527" spans="22:22">
      <c r="V527" s="203">
        <v>45444</v>
      </c>
    </row>
    <row r="528" spans="22:22">
      <c r="V528" s="203">
        <v>45445</v>
      </c>
    </row>
    <row r="529" spans="22:22">
      <c r="V529" s="203">
        <v>45446</v>
      </c>
    </row>
    <row r="530" spans="22:22">
      <c r="V530" s="203">
        <v>45447</v>
      </c>
    </row>
    <row r="531" spans="22:22">
      <c r="V531" s="203">
        <v>45448</v>
      </c>
    </row>
    <row r="532" spans="22:22">
      <c r="V532" s="203">
        <v>45449</v>
      </c>
    </row>
    <row r="533" spans="22:22">
      <c r="V533" s="203">
        <v>45450</v>
      </c>
    </row>
    <row r="534" spans="22:22">
      <c r="V534" s="203">
        <v>45451</v>
      </c>
    </row>
    <row r="535" spans="22:22">
      <c r="V535" s="203">
        <v>45452</v>
      </c>
    </row>
    <row r="536" spans="22:22">
      <c r="V536" s="203">
        <v>45453</v>
      </c>
    </row>
    <row r="537" spans="22:22">
      <c r="V537" s="203">
        <v>45454</v>
      </c>
    </row>
    <row r="538" spans="22:22">
      <c r="V538" s="203">
        <v>45455</v>
      </c>
    </row>
    <row r="539" spans="22:22">
      <c r="V539" s="203">
        <v>45456</v>
      </c>
    </row>
    <row r="540" spans="22:22">
      <c r="V540" s="203">
        <v>45457</v>
      </c>
    </row>
    <row r="541" spans="22:22">
      <c r="V541" s="203">
        <v>45458</v>
      </c>
    </row>
    <row r="542" spans="22:22">
      <c r="V542" s="203">
        <v>45459</v>
      </c>
    </row>
    <row r="543" spans="22:22">
      <c r="V543" s="203">
        <v>45460</v>
      </c>
    </row>
    <row r="544" spans="22:22">
      <c r="V544" s="203">
        <v>45461</v>
      </c>
    </row>
    <row r="545" spans="22:22">
      <c r="V545" s="203">
        <v>45462</v>
      </c>
    </row>
    <row r="546" spans="22:22">
      <c r="V546" s="203">
        <v>45463</v>
      </c>
    </row>
    <row r="547" spans="22:22">
      <c r="V547" s="203">
        <v>45464</v>
      </c>
    </row>
    <row r="548" spans="22:22">
      <c r="V548" s="203">
        <v>45465</v>
      </c>
    </row>
    <row r="549" spans="22:22">
      <c r="V549" s="203">
        <v>45466</v>
      </c>
    </row>
    <row r="550" spans="22:22">
      <c r="V550" s="203">
        <v>45467</v>
      </c>
    </row>
    <row r="551" spans="22:22">
      <c r="V551" s="203">
        <v>45468</v>
      </c>
    </row>
    <row r="552" spans="22:22">
      <c r="V552" s="203">
        <v>45469</v>
      </c>
    </row>
    <row r="553" spans="22:22">
      <c r="V553" s="203">
        <v>45470</v>
      </c>
    </row>
    <row r="554" spans="22:22">
      <c r="V554" s="203">
        <v>45471</v>
      </c>
    </row>
    <row r="555" spans="22:22">
      <c r="V555" s="203">
        <v>45472</v>
      </c>
    </row>
    <row r="556" spans="22:22">
      <c r="V556" s="203">
        <v>45473</v>
      </c>
    </row>
    <row r="557" spans="22:22">
      <c r="V557" s="203">
        <v>45474</v>
      </c>
    </row>
    <row r="558" spans="22:22">
      <c r="V558" s="203">
        <v>45475</v>
      </c>
    </row>
    <row r="559" spans="22:22">
      <c r="V559" s="203">
        <v>45476</v>
      </c>
    </row>
    <row r="560" spans="22:22">
      <c r="V560" s="203">
        <v>45477</v>
      </c>
    </row>
    <row r="561" spans="22:22">
      <c r="V561" s="203">
        <v>45478</v>
      </c>
    </row>
    <row r="562" spans="22:22">
      <c r="V562" s="203">
        <v>45479</v>
      </c>
    </row>
    <row r="563" spans="22:22">
      <c r="V563" s="203">
        <v>45480</v>
      </c>
    </row>
    <row r="564" spans="22:22">
      <c r="V564" s="203">
        <v>45481</v>
      </c>
    </row>
    <row r="565" spans="22:22">
      <c r="V565" s="203">
        <v>45482</v>
      </c>
    </row>
    <row r="566" spans="22:22">
      <c r="V566" s="203">
        <v>45483</v>
      </c>
    </row>
    <row r="567" spans="22:22">
      <c r="V567" s="203">
        <v>45484</v>
      </c>
    </row>
    <row r="568" spans="22:22">
      <c r="V568" s="203">
        <v>45485</v>
      </c>
    </row>
    <row r="569" spans="22:22">
      <c r="V569" s="203">
        <v>45486</v>
      </c>
    </row>
    <row r="570" spans="22:22">
      <c r="V570" s="203">
        <v>45487</v>
      </c>
    </row>
    <row r="571" spans="22:22">
      <c r="V571" s="203">
        <v>45488</v>
      </c>
    </row>
    <row r="572" spans="22:22">
      <c r="V572" s="203">
        <v>45489</v>
      </c>
    </row>
    <row r="573" spans="22:22">
      <c r="V573" s="203">
        <v>45490</v>
      </c>
    </row>
    <row r="574" spans="22:22">
      <c r="V574" s="203">
        <v>45491</v>
      </c>
    </row>
    <row r="575" spans="22:22">
      <c r="V575" s="203">
        <v>45492</v>
      </c>
    </row>
    <row r="576" spans="22:22">
      <c r="V576" s="203">
        <v>45493</v>
      </c>
    </row>
    <row r="577" spans="22:22">
      <c r="V577" s="203">
        <v>45494</v>
      </c>
    </row>
    <row r="578" spans="22:22">
      <c r="V578" s="203">
        <v>45495</v>
      </c>
    </row>
    <row r="579" spans="22:22">
      <c r="V579" s="203">
        <v>45496</v>
      </c>
    </row>
    <row r="580" spans="22:22">
      <c r="V580" s="203">
        <v>45497</v>
      </c>
    </row>
    <row r="581" spans="22:22">
      <c r="V581" s="203">
        <v>45498</v>
      </c>
    </row>
    <row r="582" spans="22:22">
      <c r="V582" s="203">
        <v>45499</v>
      </c>
    </row>
    <row r="583" spans="22:22">
      <c r="V583" s="203">
        <v>45500</v>
      </c>
    </row>
    <row r="584" spans="22:22">
      <c r="V584" s="203">
        <v>45501</v>
      </c>
    </row>
    <row r="585" spans="22:22">
      <c r="V585" s="203">
        <v>45502</v>
      </c>
    </row>
    <row r="586" spans="22:22">
      <c r="V586" s="203">
        <v>45503</v>
      </c>
    </row>
    <row r="587" spans="22:22">
      <c r="V587" s="203">
        <v>45504</v>
      </c>
    </row>
    <row r="588" spans="22:22">
      <c r="V588" s="203">
        <v>45505</v>
      </c>
    </row>
    <row r="589" spans="22:22">
      <c r="V589" s="203">
        <v>45506</v>
      </c>
    </row>
    <row r="590" spans="22:22">
      <c r="V590" s="203">
        <v>45507</v>
      </c>
    </row>
    <row r="591" spans="22:22">
      <c r="V591" s="203">
        <v>45508</v>
      </c>
    </row>
    <row r="592" spans="22:22">
      <c r="V592" s="203">
        <v>45509</v>
      </c>
    </row>
    <row r="593" spans="22:22">
      <c r="V593" s="203">
        <v>45510</v>
      </c>
    </row>
    <row r="594" spans="22:22">
      <c r="V594" s="203">
        <v>45511</v>
      </c>
    </row>
    <row r="595" spans="22:22">
      <c r="V595" s="203">
        <v>45512</v>
      </c>
    </row>
    <row r="596" spans="22:22">
      <c r="V596" s="203">
        <v>45513</v>
      </c>
    </row>
    <row r="597" spans="22:22">
      <c r="V597" s="203">
        <v>45514</v>
      </c>
    </row>
    <row r="598" spans="22:22">
      <c r="V598" s="203">
        <v>45515</v>
      </c>
    </row>
    <row r="599" spans="22:22">
      <c r="V599" s="203">
        <v>45516</v>
      </c>
    </row>
    <row r="600" spans="22:22">
      <c r="V600" s="203">
        <v>45517</v>
      </c>
    </row>
    <row r="601" spans="22:22">
      <c r="V601" s="203">
        <v>45518</v>
      </c>
    </row>
    <row r="602" spans="22:22">
      <c r="V602" s="203">
        <v>45519</v>
      </c>
    </row>
    <row r="603" spans="22:22">
      <c r="V603" s="203">
        <v>45520</v>
      </c>
    </row>
    <row r="604" spans="22:22">
      <c r="V604" s="203">
        <v>45521</v>
      </c>
    </row>
    <row r="605" spans="22:22">
      <c r="V605" s="203">
        <v>45522</v>
      </c>
    </row>
    <row r="606" spans="22:22">
      <c r="V606" s="203">
        <v>45523</v>
      </c>
    </row>
    <row r="607" spans="22:22">
      <c r="V607" s="203">
        <v>45524</v>
      </c>
    </row>
    <row r="608" spans="22:22">
      <c r="V608" s="203">
        <v>45525</v>
      </c>
    </row>
    <row r="609" spans="22:22">
      <c r="V609" s="203">
        <v>45526</v>
      </c>
    </row>
    <row r="610" spans="22:22">
      <c r="V610" s="203">
        <v>45527</v>
      </c>
    </row>
    <row r="611" spans="22:22">
      <c r="V611" s="203">
        <v>45528</v>
      </c>
    </row>
    <row r="612" spans="22:22">
      <c r="V612" s="203">
        <v>45529</v>
      </c>
    </row>
    <row r="613" spans="22:22">
      <c r="V613" s="203">
        <v>45530</v>
      </c>
    </row>
    <row r="614" spans="22:22">
      <c r="V614" s="203">
        <v>45531</v>
      </c>
    </row>
    <row r="615" spans="22:22">
      <c r="V615" s="203">
        <v>45532</v>
      </c>
    </row>
    <row r="616" spans="22:22">
      <c r="V616" s="203">
        <v>45533</v>
      </c>
    </row>
    <row r="617" spans="22:22">
      <c r="V617" s="203">
        <v>45534</v>
      </c>
    </row>
    <row r="618" spans="22:22">
      <c r="V618" s="203">
        <v>45535</v>
      </c>
    </row>
    <row r="619" spans="22:22">
      <c r="V619" s="203">
        <v>45536</v>
      </c>
    </row>
    <row r="620" spans="22:22">
      <c r="V620" s="203">
        <v>45537</v>
      </c>
    </row>
    <row r="621" spans="22:22">
      <c r="V621" s="203">
        <v>45538</v>
      </c>
    </row>
    <row r="622" spans="22:22">
      <c r="V622" s="203">
        <v>45539</v>
      </c>
    </row>
    <row r="623" spans="22:22">
      <c r="V623" s="203">
        <v>45540</v>
      </c>
    </row>
    <row r="624" spans="22:22">
      <c r="V624" s="203">
        <v>45541</v>
      </c>
    </row>
    <row r="625" spans="22:22">
      <c r="V625" s="203">
        <v>45542</v>
      </c>
    </row>
    <row r="626" spans="22:22">
      <c r="V626" s="203">
        <v>45543</v>
      </c>
    </row>
    <row r="627" spans="22:22">
      <c r="V627" s="203">
        <v>45544</v>
      </c>
    </row>
    <row r="628" spans="22:22">
      <c r="V628" s="203">
        <v>45545</v>
      </c>
    </row>
    <row r="629" spans="22:22">
      <c r="V629" s="203">
        <v>45546</v>
      </c>
    </row>
    <row r="630" spans="22:22">
      <c r="V630" s="203">
        <v>45547</v>
      </c>
    </row>
    <row r="631" spans="22:22">
      <c r="V631" s="203">
        <v>45548</v>
      </c>
    </row>
    <row r="632" spans="22:22">
      <c r="V632" s="203">
        <v>45549</v>
      </c>
    </row>
    <row r="633" spans="22:22">
      <c r="V633" s="203">
        <v>45550</v>
      </c>
    </row>
    <row r="634" spans="22:22">
      <c r="V634" s="203">
        <v>45551</v>
      </c>
    </row>
    <row r="635" spans="22:22">
      <c r="V635" s="203">
        <v>45552</v>
      </c>
    </row>
    <row r="636" spans="22:22">
      <c r="V636" s="203">
        <v>45553</v>
      </c>
    </row>
    <row r="637" spans="22:22">
      <c r="V637" s="203">
        <v>45554</v>
      </c>
    </row>
    <row r="638" spans="22:22">
      <c r="V638" s="203">
        <v>45555</v>
      </c>
    </row>
    <row r="639" spans="22:22">
      <c r="V639" s="203">
        <v>45556</v>
      </c>
    </row>
    <row r="640" spans="22:22">
      <c r="V640" s="203">
        <v>45557</v>
      </c>
    </row>
    <row r="641" spans="22:22">
      <c r="V641" s="203">
        <v>45558</v>
      </c>
    </row>
    <row r="642" spans="22:22">
      <c r="V642" s="203">
        <v>45559</v>
      </c>
    </row>
    <row r="643" spans="22:22">
      <c r="V643" s="203">
        <v>45560</v>
      </c>
    </row>
    <row r="644" spans="22:22">
      <c r="V644" s="203">
        <v>45561</v>
      </c>
    </row>
    <row r="645" spans="22:22">
      <c r="V645" s="203">
        <v>45562</v>
      </c>
    </row>
    <row r="646" spans="22:22">
      <c r="V646" s="203">
        <v>45563</v>
      </c>
    </row>
    <row r="647" spans="22:22">
      <c r="V647" s="203">
        <v>45564</v>
      </c>
    </row>
    <row r="648" spans="22:22">
      <c r="V648" s="203">
        <v>45565</v>
      </c>
    </row>
    <row r="649" spans="22:22">
      <c r="V649" s="203">
        <v>45566</v>
      </c>
    </row>
    <row r="650" spans="22:22">
      <c r="V650" s="203">
        <v>45567</v>
      </c>
    </row>
    <row r="651" spans="22:22">
      <c r="V651" s="203">
        <v>45568</v>
      </c>
    </row>
    <row r="652" spans="22:22">
      <c r="V652" s="203">
        <v>45569</v>
      </c>
    </row>
    <row r="653" spans="22:22">
      <c r="V653" s="203">
        <v>45570</v>
      </c>
    </row>
    <row r="654" spans="22:22">
      <c r="V654" s="203">
        <v>45571</v>
      </c>
    </row>
    <row r="655" spans="22:22">
      <c r="V655" s="203">
        <v>45572</v>
      </c>
    </row>
    <row r="656" spans="22:22">
      <c r="V656" s="203">
        <v>45573</v>
      </c>
    </row>
    <row r="657" spans="22:22">
      <c r="V657" s="203">
        <v>45574</v>
      </c>
    </row>
    <row r="658" spans="22:22">
      <c r="V658" s="203">
        <v>45575</v>
      </c>
    </row>
    <row r="659" spans="22:22">
      <c r="V659" s="203">
        <v>45576</v>
      </c>
    </row>
    <row r="660" spans="22:22">
      <c r="V660" s="203">
        <v>45577</v>
      </c>
    </row>
    <row r="661" spans="22:22">
      <c r="V661" s="203">
        <v>45578</v>
      </c>
    </row>
    <row r="662" spans="22:22">
      <c r="V662" s="203">
        <v>45579</v>
      </c>
    </row>
    <row r="663" spans="22:22">
      <c r="V663" s="203">
        <v>45580</v>
      </c>
    </row>
    <row r="664" spans="22:22">
      <c r="V664" s="203">
        <v>45581</v>
      </c>
    </row>
    <row r="665" spans="22:22">
      <c r="V665" s="203">
        <v>45582</v>
      </c>
    </row>
    <row r="666" spans="22:22">
      <c r="V666" s="203">
        <v>45583</v>
      </c>
    </row>
    <row r="667" spans="22:22">
      <c r="V667" s="203">
        <v>45584</v>
      </c>
    </row>
    <row r="668" spans="22:22">
      <c r="V668" s="203">
        <v>45585</v>
      </c>
    </row>
    <row r="669" spans="22:22">
      <c r="V669" s="203">
        <v>45586</v>
      </c>
    </row>
    <row r="670" spans="22:22">
      <c r="V670" s="203">
        <v>45587</v>
      </c>
    </row>
    <row r="671" spans="22:22">
      <c r="V671" s="203">
        <v>45588</v>
      </c>
    </row>
    <row r="672" spans="22:22">
      <c r="V672" s="203">
        <v>45589</v>
      </c>
    </row>
    <row r="673" spans="22:22">
      <c r="V673" s="203">
        <v>45590</v>
      </c>
    </row>
    <row r="674" spans="22:22">
      <c r="V674" s="203">
        <v>45591</v>
      </c>
    </row>
    <row r="675" spans="22:22">
      <c r="V675" s="203">
        <v>45592</v>
      </c>
    </row>
    <row r="676" spans="22:22">
      <c r="V676" s="203">
        <v>45593</v>
      </c>
    </row>
    <row r="677" spans="22:22">
      <c r="V677" s="203">
        <v>45594</v>
      </c>
    </row>
    <row r="678" spans="22:22">
      <c r="V678" s="203">
        <v>45595</v>
      </c>
    </row>
    <row r="679" spans="22:22">
      <c r="V679" s="203">
        <v>45596</v>
      </c>
    </row>
    <row r="680" spans="22:22">
      <c r="V680" s="203">
        <v>45597</v>
      </c>
    </row>
    <row r="681" spans="22:22">
      <c r="V681" s="203">
        <v>45598</v>
      </c>
    </row>
    <row r="682" spans="22:22">
      <c r="V682" s="203">
        <v>45599</v>
      </c>
    </row>
    <row r="683" spans="22:22">
      <c r="V683" s="203">
        <v>45600</v>
      </c>
    </row>
    <row r="684" spans="22:22">
      <c r="V684" s="203">
        <v>45601</v>
      </c>
    </row>
    <row r="685" spans="22:22">
      <c r="V685" s="203">
        <v>45602</v>
      </c>
    </row>
    <row r="686" spans="22:22">
      <c r="V686" s="203">
        <v>45603</v>
      </c>
    </row>
    <row r="687" spans="22:22">
      <c r="V687" s="203">
        <v>45604</v>
      </c>
    </row>
    <row r="688" spans="22:22">
      <c r="V688" s="203">
        <v>45605</v>
      </c>
    </row>
    <row r="689" spans="22:22">
      <c r="V689" s="203">
        <v>45606</v>
      </c>
    </row>
    <row r="690" spans="22:22">
      <c r="V690" s="203">
        <v>45607</v>
      </c>
    </row>
    <row r="691" spans="22:22">
      <c r="V691" s="203">
        <v>45608</v>
      </c>
    </row>
    <row r="692" spans="22:22">
      <c r="V692" s="203">
        <v>45609</v>
      </c>
    </row>
    <row r="693" spans="22:22">
      <c r="V693" s="203">
        <v>45610</v>
      </c>
    </row>
    <row r="694" spans="22:22">
      <c r="V694" s="203">
        <v>45611</v>
      </c>
    </row>
    <row r="695" spans="22:22">
      <c r="V695" s="203">
        <v>45612</v>
      </c>
    </row>
    <row r="696" spans="22:22">
      <c r="V696" s="203">
        <v>45613</v>
      </c>
    </row>
    <row r="697" spans="22:22">
      <c r="V697" s="203">
        <v>45614</v>
      </c>
    </row>
    <row r="698" spans="22:22">
      <c r="V698" s="203">
        <v>45615</v>
      </c>
    </row>
    <row r="699" spans="22:22">
      <c r="V699" s="203">
        <v>45616</v>
      </c>
    </row>
    <row r="700" spans="22:22">
      <c r="V700" s="203">
        <v>45617</v>
      </c>
    </row>
    <row r="701" spans="22:22">
      <c r="V701" s="203">
        <v>45618</v>
      </c>
    </row>
    <row r="702" spans="22:22">
      <c r="V702" s="203">
        <v>45619</v>
      </c>
    </row>
    <row r="703" spans="22:22">
      <c r="V703" s="203">
        <v>45620</v>
      </c>
    </row>
    <row r="704" spans="22:22">
      <c r="V704" s="203">
        <v>45621</v>
      </c>
    </row>
    <row r="705" spans="22:22">
      <c r="V705" s="203">
        <v>45622</v>
      </c>
    </row>
    <row r="706" spans="22:22">
      <c r="V706" s="203">
        <v>45623</v>
      </c>
    </row>
    <row r="707" spans="22:22">
      <c r="V707" s="203">
        <v>45624</v>
      </c>
    </row>
    <row r="708" spans="22:22">
      <c r="V708" s="203">
        <v>45625</v>
      </c>
    </row>
    <row r="709" spans="22:22">
      <c r="V709" s="203">
        <v>45626</v>
      </c>
    </row>
    <row r="710" spans="22:22">
      <c r="V710" s="203">
        <v>45627</v>
      </c>
    </row>
    <row r="711" spans="22:22">
      <c r="V711" s="203">
        <v>45628</v>
      </c>
    </row>
    <row r="712" spans="22:22">
      <c r="V712" s="203">
        <v>45629</v>
      </c>
    </row>
    <row r="713" spans="22:22">
      <c r="V713" s="203">
        <v>45630</v>
      </c>
    </row>
    <row r="714" spans="22:22">
      <c r="V714" s="203">
        <v>45631</v>
      </c>
    </row>
    <row r="715" spans="22:22">
      <c r="V715" s="203">
        <v>45632</v>
      </c>
    </row>
    <row r="716" spans="22:22">
      <c r="V716" s="203">
        <v>45633</v>
      </c>
    </row>
    <row r="717" spans="22:22">
      <c r="V717" s="203">
        <v>45634</v>
      </c>
    </row>
    <row r="718" spans="22:22">
      <c r="V718" s="203">
        <v>45635</v>
      </c>
    </row>
    <row r="719" spans="22:22">
      <c r="V719" s="203">
        <v>45636</v>
      </c>
    </row>
    <row r="720" spans="22:22">
      <c r="V720" s="203">
        <v>45637</v>
      </c>
    </row>
    <row r="721" spans="22:22">
      <c r="V721" s="203">
        <v>45638</v>
      </c>
    </row>
    <row r="722" spans="22:22">
      <c r="V722" s="203">
        <v>45639</v>
      </c>
    </row>
    <row r="723" spans="22:22">
      <c r="V723" s="203">
        <v>45640</v>
      </c>
    </row>
    <row r="724" spans="22:22">
      <c r="V724" s="203">
        <v>45641</v>
      </c>
    </row>
    <row r="725" spans="22:22">
      <c r="V725" s="203">
        <v>45642</v>
      </c>
    </row>
    <row r="726" spans="22:22">
      <c r="V726" s="203">
        <v>45643</v>
      </c>
    </row>
    <row r="727" spans="22:22">
      <c r="V727" s="203">
        <v>45644</v>
      </c>
    </row>
    <row r="728" spans="22:22">
      <c r="V728" s="203">
        <v>45645</v>
      </c>
    </row>
    <row r="729" spans="22:22">
      <c r="V729" s="203">
        <v>45646</v>
      </c>
    </row>
    <row r="730" spans="22:22">
      <c r="V730" s="203">
        <v>45647</v>
      </c>
    </row>
    <row r="731" spans="22:22">
      <c r="V731" s="203">
        <v>45648</v>
      </c>
    </row>
    <row r="732" spans="22:22">
      <c r="V732" s="203">
        <v>45649</v>
      </c>
    </row>
    <row r="733" spans="22:22">
      <c r="V733" s="203">
        <v>45650</v>
      </c>
    </row>
    <row r="734" spans="22:22">
      <c r="V734" s="203">
        <v>45651</v>
      </c>
    </row>
    <row r="735" spans="22:22">
      <c r="V735" s="203">
        <v>45652</v>
      </c>
    </row>
    <row r="736" spans="22:22">
      <c r="V736" s="203">
        <v>45653</v>
      </c>
    </row>
    <row r="737" spans="22:22">
      <c r="V737" s="203">
        <v>45654</v>
      </c>
    </row>
    <row r="738" spans="22:22">
      <c r="V738" s="203">
        <v>45655</v>
      </c>
    </row>
    <row r="739" spans="22:22">
      <c r="V739" s="203">
        <v>45656</v>
      </c>
    </row>
    <row r="740" spans="22:22">
      <c r="V740" s="203">
        <v>45657</v>
      </c>
    </row>
  </sheetData>
  <sheetProtection algorithmName="SHA-512" hashValue="UVDQFw+WwRBHn2CrV5jMAdrcADM1m+ZXbU4ZApCu8KkhE4gEjvQRQZZow5ws7NK1g+XIP8rag5YzI/pSHs3orw==" saltValue="s8ra/THU3XP3t14xkD7chw==" spinCount="100000" sheet="1" objects="1" scenarios="1"/>
  <mergeCells count="33">
    <mergeCell ref="D69:R90"/>
    <mergeCell ref="O13:O14"/>
    <mergeCell ref="H17:I17"/>
    <mergeCell ref="H23:I23"/>
    <mergeCell ref="C46:U46"/>
    <mergeCell ref="O15:O16"/>
    <mergeCell ref="L22:O22"/>
    <mergeCell ref="C26:G26"/>
    <mergeCell ref="N15:N16"/>
    <mergeCell ref="L20:M20"/>
    <mergeCell ref="H18:I18"/>
    <mergeCell ref="H24:I24"/>
    <mergeCell ref="L19:M19"/>
    <mergeCell ref="L18:M18"/>
    <mergeCell ref="F20:J20"/>
    <mergeCell ref="L21:O21"/>
    <mergeCell ref="L17:M17"/>
    <mergeCell ref="F8:J8"/>
    <mergeCell ref="C8:C10"/>
    <mergeCell ref="D8:D10"/>
    <mergeCell ref="H11:I11"/>
    <mergeCell ref="C11:C13"/>
    <mergeCell ref="D11:D13"/>
    <mergeCell ref="F14:J14"/>
    <mergeCell ref="L13:M14"/>
    <mergeCell ref="L7:M8"/>
    <mergeCell ref="L15:M16"/>
    <mergeCell ref="N13:N14"/>
    <mergeCell ref="C1:O3"/>
    <mergeCell ref="H12:I12"/>
    <mergeCell ref="F4:L5"/>
    <mergeCell ref="L11:O12"/>
    <mergeCell ref="N7:N8"/>
  </mergeCells>
  <conditionalFormatting sqref="D54:O56 D57:U62">
    <cfRule type="expression" dxfId="15" priority="9">
      <formula>D54=9999999</formula>
    </cfRule>
  </conditionalFormatting>
  <conditionalFormatting sqref="D48:U53">
    <cfRule type="expression" dxfId="14" priority="5">
      <formula>D48=9999999</formula>
    </cfRule>
  </conditionalFormatting>
  <conditionalFormatting sqref="D64:U67">
    <cfRule type="expression" dxfId="13" priority="1">
      <formula>D64=9999999</formula>
    </cfRule>
  </conditionalFormatting>
  <conditionalFormatting sqref="P55:U56">
    <cfRule type="expression" dxfId="12" priority="8">
      <formula>P55=9999999</formula>
    </cfRule>
  </conditionalFormatting>
  <dataValidations count="5">
    <dataValidation type="list" allowBlank="1" showInputMessage="1" showErrorMessage="1" sqref="D8:D10" xr:uid="{1D771BE1-5C3C-4F10-AAF9-126DB3009057}">
      <formula1>$X$10:$X$28</formula1>
    </dataValidation>
    <dataValidation type="date" allowBlank="1" showInputMessage="1" showErrorMessage="1" error="Please check if the date is correct !! " prompt="Please enter a valid date value !!" sqref="G21:G22 G15" xr:uid="{C9C9CD44-6377-473D-8AF2-B3AA763B7D3D}">
      <formula1>1</formula1>
      <formula2>73051</formula2>
    </dataValidation>
    <dataValidation allowBlank="1" sqref="J23 J17 J11" xr:uid="{DB2DCF4C-F9BA-4BCC-A4D2-9CD435A3BAF7}"/>
    <dataValidation type="list" allowBlank="1" showInputMessage="1" showErrorMessage="1" error="Please check if the date is correct !! " prompt="Please enter a valid date value !!" sqref="G16 G9:G10" xr:uid="{363CAACC-1EA6-48EC-833B-F14F595AD6AF}">
      <formula1>$V$10:$V$740</formula1>
    </dataValidation>
    <dataValidation type="list" allowBlank="1" showInputMessage="1" showErrorMessage="1" sqref="D11:D13" xr:uid="{9449C4C6-152C-4539-B0C0-0E056994860C}">
      <formula1>$W$10:$W$16</formula1>
    </dataValidation>
  </dataValidations>
  <hyperlinks>
    <hyperlink ref="C26" r:id="rId1" xr:uid="{89644426-308F-4C14-AF3B-C1E4919EF766}"/>
    <hyperlink ref="L22" r:id="rId2" location="/dashboard" display="https://solutions.hapag-lloyd.com/navigator/#/dashboard" xr:uid="{BC1333F6-F1CC-41EE-92F5-86410D2C27D7}"/>
  </hyperlinks>
  <pageMargins left="0.7" right="0.7" top="0.75" bottom="0.75" header="0.3" footer="0.3"/>
  <pageSetup orientation="portrait" r:id="rId3"/>
  <drawing r:id="rId4"/>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B1F12-8BFF-4B28-A3FF-8A7479AA1CFC}">
  <sheetPr>
    <tabColor rgb="FFFFFF00"/>
  </sheetPr>
  <dimension ref="B1:U731"/>
  <sheetViews>
    <sheetView topLeftCell="A9" workbookViewId="0">
      <selection activeCell="B25" sqref="B25:K28"/>
    </sheetView>
  </sheetViews>
  <sheetFormatPr defaultColWidth="9.140625" defaultRowHeight="15"/>
  <cols>
    <col min="1" max="1" width="9.140625" style="297"/>
    <col min="2" max="2" width="17.28515625" style="296" customWidth="1"/>
    <col min="3" max="3" width="16.5703125" style="297" bestFit="1" customWidth="1"/>
    <col min="4" max="8" width="9.140625" style="297"/>
    <col min="9" max="9" width="9.140625" style="297" customWidth="1"/>
    <col min="10" max="15" width="9.140625" style="297"/>
    <col min="16" max="16" width="23" style="297" customWidth="1"/>
    <col min="17" max="18" width="16.5703125" style="297" customWidth="1"/>
    <col min="19" max="21" width="9.140625" style="297" customWidth="1"/>
    <col min="22" max="16384" width="9.140625" style="297"/>
  </cols>
  <sheetData>
    <row r="1" spans="2:21">
      <c r="P1" s="297" t="s">
        <v>239</v>
      </c>
      <c r="Q1" s="297" t="s">
        <v>239</v>
      </c>
      <c r="R1" s="297" t="s">
        <v>239</v>
      </c>
      <c r="S1" s="297" t="s">
        <v>239</v>
      </c>
      <c r="T1" s="297">
        <v>0</v>
      </c>
      <c r="U1" s="297" t="s">
        <v>312</v>
      </c>
    </row>
    <row r="2" spans="2:21">
      <c r="P2" s="297" t="s">
        <v>289</v>
      </c>
      <c r="Q2" s="297" t="s">
        <v>305</v>
      </c>
      <c r="R2" s="290">
        <v>44927</v>
      </c>
      <c r="S2" s="297" t="s">
        <v>312</v>
      </c>
      <c r="T2" s="297">
        <v>1</v>
      </c>
      <c r="U2" s="297" t="s">
        <v>313</v>
      </c>
    </row>
    <row r="3" spans="2:21" ht="24" customHeight="1">
      <c r="B3" s="298" t="s">
        <v>147</v>
      </c>
      <c r="C3" s="299" t="s">
        <v>291</v>
      </c>
      <c r="F3" s="458" t="s">
        <v>236</v>
      </c>
      <c r="G3" s="459"/>
      <c r="H3" s="460"/>
      <c r="I3" s="291" t="e">
        <f>SUM(F29:I29)</f>
        <v>#VALUE!</v>
      </c>
      <c r="J3" s="291" t="s">
        <v>272</v>
      </c>
      <c r="P3" s="297" t="s">
        <v>290</v>
      </c>
      <c r="Q3" s="297" t="s">
        <v>306</v>
      </c>
      <c r="R3" s="290">
        <v>44928</v>
      </c>
      <c r="S3" s="297" t="s">
        <v>313</v>
      </c>
      <c r="T3" s="297">
        <v>2</v>
      </c>
    </row>
    <row r="4" spans="2:21" ht="24">
      <c r="B4" s="298" t="s">
        <v>155</v>
      </c>
      <c r="C4" s="299" t="s">
        <v>306</v>
      </c>
      <c r="F4" s="458" t="s">
        <v>237</v>
      </c>
      <c r="G4" s="459"/>
      <c r="H4" s="460"/>
      <c r="I4" s="291" t="e">
        <f>SUM(G29:J29)</f>
        <v>#VALUE!</v>
      </c>
      <c r="J4" s="291" t="s">
        <v>272</v>
      </c>
      <c r="P4" s="297" t="s">
        <v>291</v>
      </c>
      <c r="Q4" s="297" t="s">
        <v>307</v>
      </c>
      <c r="R4" s="290">
        <v>44929</v>
      </c>
      <c r="T4" s="297">
        <v>3</v>
      </c>
    </row>
    <row r="5" spans="2:21" ht="15" customHeight="1">
      <c r="B5" s="298" t="s">
        <v>296</v>
      </c>
      <c r="C5" s="299" t="s">
        <v>312</v>
      </c>
      <c r="P5" s="297" t="s">
        <v>292</v>
      </c>
      <c r="Q5" s="297" t="s">
        <v>308</v>
      </c>
      <c r="R5" s="290">
        <v>44930</v>
      </c>
      <c r="T5" s="297">
        <v>4</v>
      </c>
    </row>
    <row r="6" spans="2:21">
      <c r="B6" s="300"/>
      <c r="C6" s="301"/>
      <c r="R6" s="290">
        <v>44931</v>
      </c>
      <c r="T6" s="297">
        <v>5</v>
      </c>
    </row>
    <row r="7" spans="2:21" ht="48" customHeight="1">
      <c r="B7" s="298" t="s">
        <v>186</v>
      </c>
      <c r="C7" s="299" t="s">
        <v>239</v>
      </c>
      <c r="F7" s="458" t="e">
        <f>IF(C10-C14&lt;11, C10-C14&amp;" days of ADFT cost in case purchasing (max 10 days):", "10 days of ADFT cost in case purchasing (max 10 days):")</f>
        <v>#VALUE!</v>
      </c>
      <c r="G7" s="459"/>
      <c r="H7" s="460"/>
      <c r="I7" s="29" t="str">
        <f>IFERROR(IFERROR(
IF(OR(C4="Dry",C4="IMO"),
IFERROR(
IF(AND($C$10&gt;($C$14),OR($C$5=$U$1,$C$5=$U$2)),
IF($C$10-($C$14)&gt;10,
INT(IF($C$5=$U$1,
INDEX(Table2[20'#],MATCH("Israel, Morroco",Table2[To Country &amp; Geo Location],0)),
INDEX(Table2[40'#],MATCH("Israel, Morroco",Table2[To Country &amp; Geo Location],0))))*10,
INT(IF($C$5=$U$1,
INDEX(Table2[20'#],MATCH("Israel, Morroco",Table2[To Country &amp; Geo Location],0)),
INDEX(Table2[40'#],MATCH("Israel, Morroco",Table2[To Country &amp; Geo Location],0))))*($C$10-($C$14))),"0"),
IF($C$10-$C$14&gt;10,
25*10,
25*($C$10-$C$14))),"not valid"),"not valid"),0)</f>
        <v>not valid</v>
      </c>
      <c r="J7" s="41" t="s">
        <v>6</v>
      </c>
      <c r="L7" s="619" t="s">
        <v>316</v>
      </c>
      <c r="M7" s="620"/>
      <c r="R7" s="290">
        <v>44932</v>
      </c>
      <c r="T7" s="297">
        <v>6</v>
      </c>
    </row>
    <row r="8" spans="2:21" ht="24" customHeight="1">
      <c r="B8" s="298" t="s">
        <v>188</v>
      </c>
      <c r="C8" s="299" t="s">
        <v>239</v>
      </c>
      <c r="F8" s="458" t="s">
        <v>315</v>
      </c>
      <c r="G8" s="459"/>
      <c r="H8" s="460"/>
      <c r="I8" s="29">
        <f>IFERROR((I7*L8)+K29,0)</f>
        <v>0</v>
      </c>
      <c r="J8" s="41" t="s">
        <v>272</v>
      </c>
      <c r="L8" s="621">
        <v>10.39</v>
      </c>
      <c r="M8" s="622"/>
      <c r="R8" s="290">
        <v>44933</v>
      </c>
      <c r="T8" s="297">
        <v>7</v>
      </c>
    </row>
    <row r="9" spans="2:21">
      <c r="R9" s="290">
        <v>44934</v>
      </c>
      <c r="T9" s="297">
        <v>8</v>
      </c>
    </row>
    <row r="10" spans="2:21">
      <c r="B10" s="298" t="s">
        <v>66</v>
      </c>
      <c r="C10" s="302" t="e">
        <f>C8-C7</f>
        <v>#VALUE!</v>
      </c>
      <c r="R10" s="290">
        <v>44935</v>
      </c>
      <c r="T10" s="297">
        <v>9</v>
      </c>
    </row>
    <row r="11" spans="2:21" ht="24">
      <c r="B11" s="298" t="s">
        <v>240</v>
      </c>
      <c r="C11" s="302">
        <f>C26</f>
        <v>0</v>
      </c>
      <c r="F11" s="618" t="str">
        <f>IF(C3="MACAS-Somaport","All the Storage, Plugging and Monitoring Charges are Invoiced Directly by Somaport Terminal",IF(C3="MACAS-Marsa Maroc","Storage Charge is invoiced directly by Marsa Maroc Terminal",IF(C3="MAAGA-Agadir Terminal","Storage Charge is invoiced directly by Agadir Terminal",FALSE)))</f>
        <v>Storage Charge is invoiced directly by Marsa Maroc Terminal</v>
      </c>
      <c r="G11" s="618"/>
      <c r="H11" s="618"/>
      <c r="I11" s="618"/>
      <c r="J11" s="618"/>
      <c r="K11" s="618"/>
      <c r="L11" s="618"/>
      <c r="M11" s="618"/>
      <c r="R11" s="290">
        <v>44936</v>
      </c>
      <c r="T11" s="297">
        <v>10</v>
      </c>
    </row>
    <row r="12" spans="2:21" ht="36">
      <c r="B12" s="298" t="s">
        <v>310</v>
      </c>
      <c r="C12" s="299">
        <v>0</v>
      </c>
      <c r="F12" s="618"/>
      <c r="G12" s="618"/>
      <c r="H12" s="618"/>
      <c r="I12" s="618"/>
      <c r="J12" s="618"/>
      <c r="K12" s="618"/>
      <c r="L12" s="618"/>
      <c r="M12" s="618"/>
      <c r="R12" s="290">
        <v>44937</v>
      </c>
      <c r="T12" s="297">
        <v>11</v>
      </c>
    </row>
    <row r="13" spans="2:21">
      <c r="B13" s="297"/>
      <c r="R13" s="290">
        <v>44938</v>
      </c>
      <c r="T13" s="297">
        <v>12</v>
      </c>
    </row>
    <row r="14" spans="2:21">
      <c r="B14" s="297" t="s">
        <v>311</v>
      </c>
      <c r="C14" s="297">
        <f>IF(C12=0,C11,IF(C12&lt;=C11,C11,C12))</f>
        <v>0</v>
      </c>
      <c r="R14" s="290">
        <v>44939</v>
      </c>
      <c r="T14" s="297">
        <v>13</v>
      </c>
    </row>
    <row r="15" spans="2:21">
      <c r="B15" s="297" t="s">
        <v>317</v>
      </c>
      <c r="C15" s="297" t="e">
        <f>IF(C10-C14&lt;11, C10-C14,10)+C14</f>
        <v>#VALUE!</v>
      </c>
      <c r="R15" s="290">
        <v>44940</v>
      </c>
      <c r="T15" s="297">
        <v>14</v>
      </c>
    </row>
    <row r="16" spans="2:21">
      <c r="B16" s="297"/>
      <c r="R16" s="290">
        <v>44941</v>
      </c>
      <c r="T16" s="297">
        <v>15</v>
      </c>
    </row>
    <row r="17" spans="2:20">
      <c r="B17" s="297"/>
      <c r="R17" s="290">
        <v>44942</v>
      </c>
      <c r="T17" s="297">
        <v>16</v>
      </c>
    </row>
    <row r="18" spans="2:20">
      <c r="B18" s="297"/>
      <c r="R18" s="290">
        <v>44943</v>
      </c>
      <c r="T18" s="297">
        <v>17</v>
      </c>
    </row>
    <row r="19" spans="2:20">
      <c r="B19" s="296" t="s">
        <v>293</v>
      </c>
      <c r="C19" s="297" t="e">
        <f>C8-C7</f>
        <v>#VALUE!</v>
      </c>
      <c r="R19" s="290">
        <v>44944</v>
      </c>
      <c r="T19" s="297">
        <v>18</v>
      </c>
    </row>
    <row r="20" spans="2:20">
      <c r="R20" s="290">
        <v>44945</v>
      </c>
      <c r="T20" s="297">
        <v>19</v>
      </c>
    </row>
    <row r="21" spans="2:20">
      <c r="R21" s="290">
        <v>44946</v>
      </c>
      <c r="T21" s="297">
        <v>20</v>
      </c>
    </row>
    <row r="22" spans="2:20">
      <c r="B22" s="303" t="str">
        <f>C3&amp;"-"&amp;C4&amp;"-"&amp;C5</f>
        <v>MACAS-Marsa Maroc-Reefer-20'ft</v>
      </c>
      <c r="R22" s="290">
        <v>44947</v>
      </c>
    </row>
    <row r="23" spans="2:20">
      <c r="R23" s="290">
        <v>44948</v>
      </c>
    </row>
    <row r="24" spans="2:20" ht="15.75" thickBot="1">
      <c r="G24" s="297" t="str">
        <f>C3&amp;"-Plugging-"&amp;C5</f>
        <v>MACAS-Marsa Maroc-Plugging-20'ft</v>
      </c>
      <c r="H24" s="297" t="str">
        <f>C3&amp;"-Monitoring-"&amp;C5</f>
        <v>MACAS-Marsa Maroc-Monitoring-20'ft</v>
      </c>
      <c r="I24" s="297" t="str">
        <f>C3&amp;"-Plugging &amp; Monitoring-"&amp;C5</f>
        <v>MACAS-Marsa Maroc-Plugging &amp; Monitoring-20'ft</v>
      </c>
      <c r="J24" s="297" t="s">
        <v>309</v>
      </c>
      <c r="R24" s="290">
        <v>44949</v>
      </c>
    </row>
    <row r="25" spans="2:20" ht="60.75" thickBot="1">
      <c r="B25" s="304"/>
      <c r="C25" s="305" t="s">
        <v>2</v>
      </c>
      <c r="D25" s="305" t="s">
        <v>302</v>
      </c>
      <c r="E25" s="306" t="s">
        <v>301</v>
      </c>
      <c r="F25" s="307" t="s">
        <v>303</v>
      </c>
      <c r="G25" s="308" t="s">
        <v>278</v>
      </c>
      <c r="H25" s="309" t="s">
        <v>283</v>
      </c>
      <c r="I25" s="309" t="s">
        <v>287</v>
      </c>
      <c r="J25" s="310" t="s">
        <v>304</v>
      </c>
      <c r="K25" s="311" t="s">
        <v>318</v>
      </c>
      <c r="R25" s="290">
        <v>44950</v>
      </c>
    </row>
    <row r="26" spans="2:20">
      <c r="B26" s="312" t="s">
        <v>298</v>
      </c>
      <c r="C26" s="312">
        <f>IFERROR(INDEX('Storage Tariffs (Morocco)'!$A:$G,MATCH('DD Calculator (Egypt)'!B22,'Storage Tariffs (Morocco)'!A:A,0),6),0)</f>
        <v>0</v>
      </c>
      <c r="D26" s="313">
        <f>IFERROR(INDEX('Storage Tariffs (Morocco)'!$A:$G,MATCH('DD Calculator (Egypt)'!B22,'Storage Tariffs (Morocco)'!A:A,0),7),0)</f>
        <v>0</v>
      </c>
      <c r="E26" s="314"/>
      <c r="F26" s="315"/>
      <c r="G26" s="316" t="e">
        <f>IF(C4="Reefer",C19*INDEX('Storage Tariffs (Morocco)'!$A:$G,MATCH(G24,'Storage Tariffs (Morocco)'!A:A,0),7),0)</f>
        <v>#VALUE!</v>
      </c>
      <c r="H26" s="317">
        <f>IFERROR(IF(C4="Reefer",C19*INDEX('Storage Tariffs (Morocco)'!$A:$G,MATCH(H24,'Storage Tariffs (Morocco)'!A:A,0),7),0),0)</f>
        <v>0</v>
      </c>
      <c r="I26" s="317">
        <f>IFERROR(IF(C4="Reefer",C19*INDEX('Storage Tariffs (Morocco)'!$A:$G,MATCH(I24,'Storage Tariffs (Morocco)'!A:A,0),7),0),0)</f>
        <v>0</v>
      </c>
      <c r="J26" s="318"/>
      <c r="K26" s="319"/>
      <c r="R26" s="290">
        <v>44951</v>
      </c>
    </row>
    <row r="27" spans="2:20">
      <c r="B27" s="320" t="s">
        <v>299</v>
      </c>
      <c r="C27" s="320" cm="1">
        <f t="array" ref="C27">IFERROR(INDEX('Storage Tariffs (Morocco)'!$A:$G,MATCH('DD Calculator (Egypt)'!B22,'Storage Tariffs (Morocco)'!A:A,0)+1,6),0)</f>
        <v>0</v>
      </c>
      <c r="D27" s="321" cm="1">
        <f t="array" ref="D27">IFERROR(INDEX('Storage Tariffs (Morocco)'!$A:$G,MATCH('DD Calculator (Egypt)'!B22,'Storage Tariffs (Morocco)'!A:A,0)+1,7),0)</f>
        <v>0</v>
      </c>
      <c r="E27" s="322" t="e">
        <f>IF(C19-C26&lt;0,0,C19-C26)</f>
        <v>#VALUE!</v>
      </c>
      <c r="F27" s="315" t="e">
        <f>IF(E27&gt;=C27,C27*D27,E27*D27)</f>
        <v>#VALUE!</v>
      </c>
      <c r="G27" s="316"/>
      <c r="H27" s="317"/>
      <c r="I27" s="317"/>
      <c r="J27" s="318" t="e">
        <f>F27-IF(C14-C11-C27&lt;=0,(C14-C11)*D27,C27*D27)</f>
        <v>#VALUE!</v>
      </c>
      <c r="K27" s="319" t="e">
        <f>F27-IF(C15-C11-C27&lt;=0,(C15-C11)*D27,C27*D27)</f>
        <v>#VALUE!</v>
      </c>
      <c r="R27" s="290">
        <v>44952</v>
      </c>
    </row>
    <row r="28" spans="2:20" ht="15.75" thickBot="1">
      <c r="B28" s="320" t="s">
        <v>300</v>
      </c>
      <c r="C28" s="320" cm="1">
        <f t="array" ref="C28">IFERROR(IF(C27&gt;99999,0,INDEX('Storage Tariffs (Morocco)'!$A:$G,MATCH('DD Calculator (Egypt)'!B22,'Storage Tariffs (Morocco)'!A:A,0)+2,6)),0)</f>
        <v>0</v>
      </c>
      <c r="D28" s="321" cm="1">
        <f t="array" ref="D28">IFERROR(IF(C27&gt;99999,0,INDEX('Storage Tariffs (Morocco)'!$A:$G,MATCH('DD Calculator (Egypt)'!B22,'Storage Tariffs (Morocco)'!A:A,0)+2,7)),0)</f>
        <v>0</v>
      </c>
      <c r="E28" s="322" t="e">
        <f>IF(C19-C26-C27&lt;0,0,C19-C26-C27)</f>
        <v>#VALUE!</v>
      </c>
      <c r="F28" s="323" t="e">
        <f>IF(E28&gt;=C28,C28*D28,E28*D28)</f>
        <v>#VALUE!</v>
      </c>
      <c r="G28" s="324"/>
      <c r="H28" s="325"/>
      <c r="I28" s="325"/>
      <c r="J28" s="326" t="e">
        <f>F28-IF(C14-C11-C27&gt;0,(C14-C11-C27)*D28,0)</f>
        <v>#VALUE!</v>
      </c>
      <c r="K28" s="327" t="e">
        <f>F28-IF(C15-C11-C27&gt;0,(C15-C11-C27)*D28,0)</f>
        <v>#VALUE!</v>
      </c>
      <c r="R28" s="290">
        <v>44953</v>
      </c>
    </row>
    <row r="29" spans="2:20" ht="15.75" thickBot="1">
      <c r="F29" s="328">
        <f>IFERROR(SUM(F26:F28),0)</f>
        <v>0</v>
      </c>
      <c r="G29" s="329" t="e">
        <f t="shared" ref="G29:I29" si="0">SUM(G26:G28)</f>
        <v>#VALUE!</v>
      </c>
      <c r="H29" s="330">
        <f t="shared" si="0"/>
        <v>0</v>
      </c>
      <c r="I29" s="329">
        <f t="shared" si="0"/>
        <v>0</v>
      </c>
      <c r="J29" s="331">
        <f>IFERROR(SUM(J26:J28),0)</f>
        <v>0</v>
      </c>
      <c r="K29" s="332">
        <f>IFERROR(SUM(K26:K28),0)</f>
        <v>0</v>
      </c>
      <c r="R29" s="290">
        <v>44954</v>
      </c>
    </row>
    <row r="30" spans="2:20">
      <c r="R30" s="290">
        <v>44955</v>
      </c>
    </row>
    <row r="31" spans="2:20">
      <c r="R31" s="290">
        <v>44956</v>
      </c>
    </row>
    <row r="32" spans="2:20">
      <c r="R32" s="290">
        <v>44957</v>
      </c>
    </row>
    <row r="33" spans="2:18">
      <c r="R33" s="290">
        <v>44958</v>
      </c>
    </row>
    <row r="34" spans="2:18">
      <c r="R34" s="290">
        <v>44959</v>
      </c>
    </row>
    <row r="35" spans="2:18">
      <c r="R35" s="290">
        <v>44960</v>
      </c>
    </row>
    <row r="36" spans="2:18">
      <c r="R36" s="290">
        <v>44961</v>
      </c>
    </row>
    <row r="37" spans="2:18">
      <c r="R37" s="290">
        <v>44962</v>
      </c>
    </row>
    <row r="38" spans="2:18">
      <c r="R38" s="290">
        <v>44963</v>
      </c>
    </row>
    <row r="39" spans="2:18">
      <c r="B39" s="297"/>
      <c r="R39" s="290">
        <v>44964</v>
      </c>
    </row>
    <row r="40" spans="2:18">
      <c r="B40" s="297"/>
      <c r="R40" s="290">
        <v>44965</v>
      </c>
    </row>
    <row r="41" spans="2:18">
      <c r="B41" s="297"/>
      <c r="R41" s="290">
        <v>44966</v>
      </c>
    </row>
    <row r="42" spans="2:18">
      <c r="B42" s="297"/>
      <c r="R42" s="290">
        <v>44967</v>
      </c>
    </row>
    <row r="43" spans="2:18">
      <c r="B43" s="297"/>
      <c r="R43" s="290">
        <v>44968</v>
      </c>
    </row>
    <row r="44" spans="2:18">
      <c r="B44" s="297"/>
      <c r="R44" s="290">
        <v>44969</v>
      </c>
    </row>
    <row r="45" spans="2:18">
      <c r="B45" s="297"/>
      <c r="R45" s="290">
        <v>44970</v>
      </c>
    </row>
    <row r="46" spans="2:18">
      <c r="B46" s="297"/>
      <c r="R46" s="290">
        <v>44971</v>
      </c>
    </row>
    <row r="47" spans="2:18">
      <c r="B47" s="297"/>
      <c r="R47" s="290">
        <v>44972</v>
      </c>
    </row>
    <row r="48" spans="2:18">
      <c r="B48" s="297"/>
      <c r="R48" s="290">
        <v>44973</v>
      </c>
    </row>
    <row r="49" spans="2:18">
      <c r="B49" s="297"/>
      <c r="R49" s="290">
        <v>44974</v>
      </c>
    </row>
    <row r="50" spans="2:18">
      <c r="B50" s="297"/>
      <c r="R50" s="290">
        <v>44975</v>
      </c>
    </row>
    <row r="51" spans="2:18">
      <c r="B51" s="297"/>
      <c r="R51" s="290">
        <v>44976</v>
      </c>
    </row>
    <row r="52" spans="2:18">
      <c r="B52" s="297"/>
      <c r="R52" s="290">
        <v>44977</v>
      </c>
    </row>
    <row r="53" spans="2:18">
      <c r="B53" s="297"/>
      <c r="R53" s="290">
        <v>44978</v>
      </c>
    </row>
    <row r="54" spans="2:18">
      <c r="B54" s="297"/>
      <c r="R54" s="290">
        <v>44979</v>
      </c>
    </row>
    <row r="55" spans="2:18">
      <c r="R55" s="290">
        <v>44980</v>
      </c>
    </row>
    <row r="56" spans="2:18">
      <c r="R56" s="290">
        <v>44981</v>
      </c>
    </row>
    <row r="57" spans="2:18">
      <c r="R57" s="290">
        <v>44982</v>
      </c>
    </row>
    <row r="58" spans="2:18">
      <c r="R58" s="290">
        <v>44983</v>
      </c>
    </row>
    <row r="59" spans="2:18">
      <c r="R59" s="290">
        <v>44984</v>
      </c>
    </row>
    <row r="60" spans="2:18">
      <c r="R60" s="290">
        <v>44985</v>
      </c>
    </row>
    <row r="61" spans="2:18">
      <c r="R61" s="290">
        <v>44986</v>
      </c>
    </row>
    <row r="62" spans="2:18">
      <c r="R62" s="290">
        <v>44987</v>
      </c>
    </row>
    <row r="63" spans="2:18">
      <c r="R63" s="290">
        <v>44988</v>
      </c>
    </row>
    <row r="64" spans="2:18">
      <c r="R64" s="290">
        <v>44989</v>
      </c>
    </row>
    <row r="65" spans="18:18">
      <c r="R65" s="290">
        <v>44990</v>
      </c>
    </row>
    <row r="66" spans="18:18">
      <c r="R66" s="290">
        <v>44991</v>
      </c>
    </row>
    <row r="67" spans="18:18">
      <c r="R67" s="290">
        <v>44992</v>
      </c>
    </row>
    <row r="68" spans="18:18">
      <c r="R68" s="290">
        <v>44993</v>
      </c>
    </row>
    <row r="69" spans="18:18">
      <c r="R69" s="290">
        <v>44994</v>
      </c>
    </row>
    <row r="70" spans="18:18">
      <c r="R70" s="290">
        <v>44995</v>
      </c>
    </row>
    <row r="71" spans="18:18">
      <c r="R71" s="290">
        <v>44996</v>
      </c>
    </row>
    <row r="72" spans="18:18">
      <c r="R72" s="290">
        <v>44997</v>
      </c>
    </row>
    <row r="73" spans="18:18">
      <c r="R73" s="290">
        <v>44998</v>
      </c>
    </row>
    <row r="74" spans="18:18">
      <c r="R74" s="290">
        <v>44999</v>
      </c>
    </row>
    <row r="75" spans="18:18">
      <c r="R75" s="290">
        <v>45000</v>
      </c>
    </row>
    <row r="76" spans="18:18">
      <c r="R76" s="290">
        <v>45001</v>
      </c>
    </row>
    <row r="77" spans="18:18">
      <c r="R77" s="290">
        <v>45002</v>
      </c>
    </row>
    <row r="78" spans="18:18">
      <c r="R78" s="290">
        <v>45003</v>
      </c>
    </row>
    <row r="79" spans="18:18">
      <c r="R79" s="290">
        <v>45004</v>
      </c>
    </row>
    <row r="80" spans="18:18">
      <c r="R80" s="290">
        <v>45005</v>
      </c>
    </row>
    <row r="81" spans="18:18">
      <c r="R81" s="290">
        <v>45006</v>
      </c>
    </row>
    <row r="82" spans="18:18">
      <c r="R82" s="290">
        <v>45007</v>
      </c>
    </row>
    <row r="83" spans="18:18">
      <c r="R83" s="290">
        <v>45008</v>
      </c>
    </row>
    <row r="84" spans="18:18">
      <c r="R84" s="290">
        <v>45009</v>
      </c>
    </row>
    <row r="85" spans="18:18">
      <c r="R85" s="290">
        <v>45010</v>
      </c>
    </row>
    <row r="86" spans="18:18">
      <c r="R86" s="290">
        <v>45011</v>
      </c>
    </row>
    <row r="87" spans="18:18">
      <c r="R87" s="290">
        <v>45012</v>
      </c>
    </row>
    <row r="88" spans="18:18">
      <c r="R88" s="290">
        <v>45013</v>
      </c>
    </row>
    <row r="89" spans="18:18">
      <c r="R89" s="290">
        <v>45014</v>
      </c>
    </row>
    <row r="90" spans="18:18">
      <c r="R90" s="290">
        <v>45015</v>
      </c>
    </row>
    <row r="91" spans="18:18">
      <c r="R91" s="290">
        <v>45016</v>
      </c>
    </row>
    <row r="92" spans="18:18">
      <c r="R92" s="290">
        <v>45017</v>
      </c>
    </row>
    <row r="93" spans="18:18">
      <c r="R93" s="290">
        <v>45018</v>
      </c>
    </row>
    <row r="94" spans="18:18">
      <c r="R94" s="290">
        <v>45019</v>
      </c>
    </row>
    <row r="95" spans="18:18">
      <c r="R95" s="290">
        <v>45020</v>
      </c>
    </row>
    <row r="96" spans="18:18">
      <c r="R96" s="290">
        <v>45021</v>
      </c>
    </row>
    <row r="97" spans="18:18">
      <c r="R97" s="290">
        <v>45022</v>
      </c>
    </row>
    <row r="98" spans="18:18">
      <c r="R98" s="290">
        <v>45023</v>
      </c>
    </row>
    <row r="99" spans="18:18">
      <c r="R99" s="290">
        <v>45024</v>
      </c>
    </row>
    <row r="100" spans="18:18">
      <c r="R100" s="290">
        <v>45025</v>
      </c>
    </row>
    <row r="101" spans="18:18">
      <c r="R101" s="290">
        <v>45026</v>
      </c>
    </row>
    <row r="102" spans="18:18">
      <c r="R102" s="290">
        <v>45027</v>
      </c>
    </row>
    <row r="103" spans="18:18">
      <c r="R103" s="290">
        <v>45028</v>
      </c>
    </row>
    <row r="104" spans="18:18">
      <c r="R104" s="290">
        <v>45029</v>
      </c>
    </row>
    <row r="105" spans="18:18">
      <c r="R105" s="290">
        <v>45030</v>
      </c>
    </row>
    <row r="106" spans="18:18">
      <c r="R106" s="290">
        <v>45031</v>
      </c>
    </row>
    <row r="107" spans="18:18">
      <c r="R107" s="290">
        <v>45032</v>
      </c>
    </row>
    <row r="108" spans="18:18">
      <c r="R108" s="290">
        <v>45033</v>
      </c>
    </row>
    <row r="109" spans="18:18">
      <c r="R109" s="290">
        <v>45034</v>
      </c>
    </row>
    <row r="110" spans="18:18">
      <c r="R110" s="290">
        <v>45035</v>
      </c>
    </row>
    <row r="111" spans="18:18">
      <c r="R111" s="290">
        <v>45036</v>
      </c>
    </row>
    <row r="112" spans="18:18">
      <c r="R112" s="290">
        <v>45037</v>
      </c>
    </row>
    <row r="113" spans="18:18">
      <c r="R113" s="290">
        <v>45038</v>
      </c>
    </row>
    <row r="114" spans="18:18">
      <c r="R114" s="290">
        <v>45039</v>
      </c>
    </row>
    <row r="115" spans="18:18">
      <c r="R115" s="290">
        <v>45040</v>
      </c>
    </row>
    <row r="116" spans="18:18">
      <c r="R116" s="290">
        <v>45041</v>
      </c>
    </row>
    <row r="117" spans="18:18">
      <c r="R117" s="290">
        <v>45042</v>
      </c>
    </row>
    <row r="118" spans="18:18">
      <c r="R118" s="290">
        <v>45043</v>
      </c>
    </row>
    <row r="119" spans="18:18">
      <c r="R119" s="290">
        <v>45044</v>
      </c>
    </row>
    <row r="120" spans="18:18">
      <c r="R120" s="290">
        <v>45045</v>
      </c>
    </row>
    <row r="121" spans="18:18">
      <c r="R121" s="290">
        <v>45046</v>
      </c>
    </row>
    <row r="122" spans="18:18">
      <c r="R122" s="290">
        <v>45047</v>
      </c>
    </row>
    <row r="123" spans="18:18">
      <c r="R123" s="290">
        <v>45048</v>
      </c>
    </row>
    <row r="124" spans="18:18">
      <c r="R124" s="290">
        <v>45049</v>
      </c>
    </row>
    <row r="125" spans="18:18">
      <c r="R125" s="290">
        <v>45050</v>
      </c>
    </row>
    <row r="126" spans="18:18">
      <c r="R126" s="290">
        <v>45051</v>
      </c>
    </row>
    <row r="127" spans="18:18">
      <c r="R127" s="290">
        <v>45052</v>
      </c>
    </row>
    <row r="128" spans="18:18">
      <c r="R128" s="290">
        <v>45053</v>
      </c>
    </row>
    <row r="129" spans="18:18">
      <c r="R129" s="290">
        <v>45054</v>
      </c>
    </row>
    <row r="130" spans="18:18">
      <c r="R130" s="290">
        <v>45055</v>
      </c>
    </row>
    <row r="131" spans="18:18">
      <c r="R131" s="290">
        <v>45056</v>
      </c>
    </row>
    <row r="132" spans="18:18">
      <c r="R132" s="290">
        <v>45057</v>
      </c>
    </row>
    <row r="133" spans="18:18">
      <c r="R133" s="290">
        <v>45058</v>
      </c>
    </row>
    <row r="134" spans="18:18">
      <c r="R134" s="290">
        <v>45059</v>
      </c>
    </row>
    <row r="135" spans="18:18">
      <c r="R135" s="290">
        <v>45060</v>
      </c>
    </row>
    <row r="136" spans="18:18">
      <c r="R136" s="290">
        <v>45061</v>
      </c>
    </row>
    <row r="137" spans="18:18">
      <c r="R137" s="290">
        <v>45062</v>
      </c>
    </row>
    <row r="138" spans="18:18">
      <c r="R138" s="290">
        <v>45063</v>
      </c>
    </row>
    <row r="139" spans="18:18">
      <c r="R139" s="290">
        <v>45064</v>
      </c>
    </row>
    <row r="140" spans="18:18">
      <c r="R140" s="290">
        <v>45065</v>
      </c>
    </row>
    <row r="141" spans="18:18">
      <c r="R141" s="290">
        <v>45066</v>
      </c>
    </row>
    <row r="142" spans="18:18">
      <c r="R142" s="290">
        <v>45067</v>
      </c>
    </row>
    <row r="143" spans="18:18">
      <c r="R143" s="290">
        <v>45068</v>
      </c>
    </row>
    <row r="144" spans="18:18">
      <c r="R144" s="290">
        <v>45069</v>
      </c>
    </row>
    <row r="145" spans="18:18">
      <c r="R145" s="290">
        <v>45070</v>
      </c>
    </row>
    <row r="146" spans="18:18">
      <c r="R146" s="290">
        <v>45071</v>
      </c>
    </row>
    <row r="147" spans="18:18">
      <c r="R147" s="290">
        <v>45072</v>
      </c>
    </row>
    <row r="148" spans="18:18">
      <c r="R148" s="290">
        <v>45073</v>
      </c>
    </row>
    <row r="149" spans="18:18">
      <c r="R149" s="290">
        <v>45074</v>
      </c>
    </row>
    <row r="150" spans="18:18">
      <c r="R150" s="290">
        <v>45075</v>
      </c>
    </row>
    <row r="151" spans="18:18">
      <c r="R151" s="290">
        <v>45076</v>
      </c>
    </row>
    <row r="152" spans="18:18">
      <c r="R152" s="290">
        <v>45077</v>
      </c>
    </row>
    <row r="153" spans="18:18">
      <c r="R153" s="290">
        <v>45078</v>
      </c>
    </row>
    <row r="154" spans="18:18">
      <c r="R154" s="290">
        <v>45079</v>
      </c>
    </row>
    <row r="155" spans="18:18">
      <c r="R155" s="290">
        <v>45080</v>
      </c>
    </row>
    <row r="156" spans="18:18">
      <c r="R156" s="290">
        <v>45081</v>
      </c>
    </row>
    <row r="157" spans="18:18">
      <c r="R157" s="290">
        <v>45082</v>
      </c>
    </row>
    <row r="158" spans="18:18">
      <c r="R158" s="290">
        <v>45083</v>
      </c>
    </row>
    <row r="159" spans="18:18">
      <c r="R159" s="290">
        <v>45084</v>
      </c>
    </row>
    <row r="160" spans="18:18">
      <c r="R160" s="290">
        <v>45085</v>
      </c>
    </row>
    <row r="161" spans="18:18">
      <c r="R161" s="290">
        <v>45086</v>
      </c>
    </row>
    <row r="162" spans="18:18">
      <c r="R162" s="290">
        <v>45087</v>
      </c>
    </row>
    <row r="163" spans="18:18">
      <c r="R163" s="290">
        <v>45088</v>
      </c>
    </row>
    <row r="164" spans="18:18">
      <c r="R164" s="290">
        <v>45089</v>
      </c>
    </row>
    <row r="165" spans="18:18">
      <c r="R165" s="290">
        <v>45090</v>
      </c>
    </row>
    <row r="166" spans="18:18">
      <c r="R166" s="290">
        <v>45091</v>
      </c>
    </row>
    <row r="167" spans="18:18">
      <c r="R167" s="290">
        <v>45092</v>
      </c>
    </row>
    <row r="168" spans="18:18">
      <c r="R168" s="290">
        <v>45093</v>
      </c>
    </row>
    <row r="169" spans="18:18">
      <c r="R169" s="290">
        <v>45094</v>
      </c>
    </row>
    <row r="170" spans="18:18">
      <c r="R170" s="290">
        <v>45095</v>
      </c>
    </row>
    <row r="171" spans="18:18">
      <c r="R171" s="290">
        <v>45096</v>
      </c>
    </row>
    <row r="172" spans="18:18">
      <c r="R172" s="290">
        <v>45097</v>
      </c>
    </row>
    <row r="173" spans="18:18">
      <c r="R173" s="290">
        <v>45098</v>
      </c>
    </row>
    <row r="174" spans="18:18">
      <c r="R174" s="290">
        <v>45099</v>
      </c>
    </row>
    <row r="175" spans="18:18">
      <c r="R175" s="290">
        <v>45100</v>
      </c>
    </row>
    <row r="176" spans="18:18">
      <c r="R176" s="290">
        <v>45101</v>
      </c>
    </row>
    <row r="177" spans="18:18">
      <c r="R177" s="290">
        <v>45102</v>
      </c>
    </row>
    <row r="178" spans="18:18">
      <c r="R178" s="290">
        <v>45103</v>
      </c>
    </row>
    <row r="179" spans="18:18">
      <c r="R179" s="290">
        <v>45104</v>
      </c>
    </row>
    <row r="180" spans="18:18">
      <c r="R180" s="290">
        <v>45105</v>
      </c>
    </row>
    <row r="181" spans="18:18">
      <c r="R181" s="290">
        <v>45106</v>
      </c>
    </row>
    <row r="182" spans="18:18">
      <c r="R182" s="290">
        <v>45107</v>
      </c>
    </row>
    <row r="183" spans="18:18">
      <c r="R183" s="290">
        <v>45108</v>
      </c>
    </row>
    <row r="184" spans="18:18">
      <c r="R184" s="290">
        <v>45109</v>
      </c>
    </row>
    <row r="185" spans="18:18">
      <c r="R185" s="290">
        <v>45110</v>
      </c>
    </row>
    <row r="186" spans="18:18">
      <c r="R186" s="290">
        <v>45111</v>
      </c>
    </row>
    <row r="187" spans="18:18">
      <c r="R187" s="290">
        <v>45112</v>
      </c>
    </row>
    <row r="188" spans="18:18">
      <c r="R188" s="290">
        <v>45113</v>
      </c>
    </row>
    <row r="189" spans="18:18">
      <c r="R189" s="290">
        <v>45114</v>
      </c>
    </row>
    <row r="190" spans="18:18">
      <c r="R190" s="290">
        <v>45115</v>
      </c>
    </row>
    <row r="191" spans="18:18">
      <c r="R191" s="290">
        <v>45116</v>
      </c>
    </row>
    <row r="192" spans="18:18">
      <c r="R192" s="290">
        <v>45117</v>
      </c>
    </row>
    <row r="193" spans="18:18">
      <c r="R193" s="290">
        <v>45118</v>
      </c>
    </row>
    <row r="194" spans="18:18">
      <c r="R194" s="290">
        <v>45119</v>
      </c>
    </row>
    <row r="195" spans="18:18">
      <c r="R195" s="290">
        <v>45120</v>
      </c>
    </row>
    <row r="196" spans="18:18">
      <c r="R196" s="290">
        <v>45121</v>
      </c>
    </row>
    <row r="197" spans="18:18">
      <c r="R197" s="290">
        <v>45122</v>
      </c>
    </row>
    <row r="198" spans="18:18">
      <c r="R198" s="290">
        <v>45123</v>
      </c>
    </row>
    <row r="199" spans="18:18">
      <c r="R199" s="290">
        <v>45124</v>
      </c>
    </row>
    <row r="200" spans="18:18">
      <c r="R200" s="290">
        <v>45125</v>
      </c>
    </row>
    <row r="201" spans="18:18">
      <c r="R201" s="290">
        <v>45126</v>
      </c>
    </row>
    <row r="202" spans="18:18">
      <c r="R202" s="290">
        <v>45127</v>
      </c>
    </row>
    <row r="203" spans="18:18">
      <c r="R203" s="290">
        <v>45128</v>
      </c>
    </row>
    <row r="204" spans="18:18">
      <c r="R204" s="290">
        <v>45129</v>
      </c>
    </row>
    <row r="205" spans="18:18">
      <c r="R205" s="290">
        <v>45130</v>
      </c>
    </row>
    <row r="206" spans="18:18">
      <c r="R206" s="290">
        <v>45131</v>
      </c>
    </row>
    <row r="207" spans="18:18">
      <c r="R207" s="290">
        <v>45132</v>
      </c>
    </row>
    <row r="208" spans="18:18">
      <c r="R208" s="290">
        <v>45133</v>
      </c>
    </row>
    <row r="209" spans="18:18">
      <c r="R209" s="290">
        <v>45134</v>
      </c>
    </row>
    <row r="210" spans="18:18">
      <c r="R210" s="290">
        <v>45135</v>
      </c>
    </row>
    <row r="211" spans="18:18">
      <c r="R211" s="290">
        <v>45136</v>
      </c>
    </row>
    <row r="212" spans="18:18">
      <c r="R212" s="290">
        <v>45137</v>
      </c>
    </row>
    <row r="213" spans="18:18">
      <c r="R213" s="290">
        <v>45138</v>
      </c>
    </row>
    <row r="214" spans="18:18">
      <c r="R214" s="290">
        <v>45139</v>
      </c>
    </row>
    <row r="215" spans="18:18">
      <c r="R215" s="290">
        <v>45140</v>
      </c>
    </row>
    <row r="216" spans="18:18">
      <c r="R216" s="290">
        <v>45141</v>
      </c>
    </row>
    <row r="217" spans="18:18">
      <c r="R217" s="290">
        <v>45142</v>
      </c>
    </row>
    <row r="218" spans="18:18">
      <c r="R218" s="290">
        <v>45143</v>
      </c>
    </row>
    <row r="219" spans="18:18">
      <c r="R219" s="290">
        <v>45144</v>
      </c>
    </row>
    <row r="220" spans="18:18">
      <c r="R220" s="290">
        <v>45145</v>
      </c>
    </row>
    <row r="221" spans="18:18">
      <c r="R221" s="290">
        <v>45146</v>
      </c>
    </row>
    <row r="222" spans="18:18">
      <c r="R222" s="290">
        <v>45147</v>
      </c>
    </row>
    <row r="223" spans="18:18">
      <c r="R223" s="290">
        <v>45148</v>
      </c>
    </row>
    <row r="224" spans="18:18">
      <c r="R224" s="290">
        <v>45149</v>
      </c>
    </row>
    <row r="225" spans="18:18">
      <c r="R225" s="290">
        <v>45150</v>
      </c>
    </row>
    <row r="226" spans="18:18">
      <c r="R226" s="290">
        <v>45151</v>
      </c>
    </row>
    <row r="227" spans="18:18">
      <c r="R227" s="290">
        <v>45152</v>
      </c>
    </row>
    <row r="228" spans="18:18">
      <c r="R228" s="290">
        <v>45153</v>
      </c>
    </row>
    <row r="229" spans="18:18">
      <c r="R229" s="290">
        <v>45154</v>
      </c>
    </row>
    <row r="230" spans="18:18">
      <c r="R230" s="290">
        <v>45155</v>
      </c>
    </row>
    <row r="231" spans="18:18">
      <c r="R231" s="290">
        <v>45156</v>
      </c>
    </row>
    <row r="232" spans="18:18">
      <c r="R232" s="290">
        <v>45157</v>
      </c>
    </row>
    <row r="233" spans="18:18">
      <c r="R233" s="290">
        <v>45158</v>
      </c>
    </row>
    <row r="234" spans="18:18">
      <c r="R234" s="290">
        <v>45159</v>
      </c>
    </row>
    <row r="235" spans="18:18">
      <c r="R235" s="290">
        <v>45160</v>
      </c>
    </row>
    <row r="236" spans="18:18">
      <c r="R236" s="290">
        <v>45161</v>
      </c>
    </row>
    <row r="237" spans="18:18">
      <c r="R237" s="290">
        <v>45162</v>
      </c>
    </row>
    <row r="238" spans="18:18">
      <c r="R238" s="290">
        <v>45163</v>
      </c>
    </row>
    <row r="239" spans="18:18">
      <c r="R239" s="290">
        <v>45164</v>
      </c>
    </row>
    <row r="240" spans="18:18">
      <c r="R240" s="290">
        <v>45165</v>
      </c>
    </row>
    <row r="241" spans="18:18">
      <c r="R241" s="290">
        <v>45166</v>
      </c>
    </row>
    <row r="242" spans="18:18">
      <c r="R242" s="290">
        <v>45167</v>
      </c>
    </row>
    <row r="243" spans="18:18">
      <c r="R243" s="290">
        <v>45168</v>
      </c>
    </row>
    <row r="244" spans="18:18">
      <c r="R244" s="290">
        <v>45169</v>
      </c>
    </row>
    <row r="245" spans="18:18">
      <c r="R245" s="290">
        <v>45170</v>
      </c>
    </row>
    <row r="246" spans="18:18">
      <c r="R246" s="290">
        <v>45171</v>
      </c>
    </row>
    <row r="247" spans="18:18">
      <c r="R247" s="290">
        <v>45172</v>
      </c>
    </row>
    <row r="248" spans="18:18">
      <c r="R248" s="290">
        <v>45173</v>
      </c>
    </row>
    <row r="249" spans="18:18">
      <c r="R249" s="290">
        <v>45174</v>
      </c>
    </row>
    <row r="250" spans="18:18">
      <c r="R250" s="290">
        <v>45175</v>
      </c>
    </row>
    <row r="251" spans="18:18">
      <c r="R251" s="290">
        <v>45176</v>
      </c>
    </row>
    <row r="252" spans="18:18">
      <c r="R252" s="290">
        <v>45177</v>
      </c>
    </row>
    <row r="253" spans="18:18">
      <c r="R253" s="290">
        <v>45178</v>
      </c>
    </row>
    <row r="254" spans="18:18">
      <c r="R254" s="290">
        <v>45179</v>
      </c>
    </row>
    <row r="255" spans="18:18">
      <c r="R255" s="290">
        <v>45180</v>
      </c>
    </row>
    <row r="256" spans="18:18">
      <c r="R256" s="290">
        <v>45181</v>
      </c>
    </row>
    <row r="257" spans="18:18">
      <c r="R257" s="290">
        <v>45182</v>
      </c>
    </row>
    <row r="258" spans="18:18">
      <c r="R258" s="290">
        <v>45183</v>
      </c>
    </row>
    <row r="259" spans="18:18">
      <c r="R259" s="290">
        <v>45184</v>
      </c>
    </row>
    <row r="260" spans="18:18">
      <c r="R260" s="290">
        <v>45185</v>
      </c>
    </row>
    <row r="261" spans="18:18">
      <c r="R261" s="290">
        <v>45186</v>
      </c>
    </row>
    <row r="262" spans="18:18">
      <c r="R262" s="290">
        <v>45187</v>
      </c>
    </row>
    <row r="263" spans="18:18">
      <c r="R263" s="290">
        <v>45188</v>
      </c>
    </row>
    <row r="264" spans="18:18">
      <c r="R264" s="290">
        <v>45189</v>
      </c>
    </row>
    <row r="265" spans="18:18">
      <c r="R265" s="290">
        <v>45190</v>
      </c>
    </row>
    <row r="266" spans="18:18">
      <c r="R266" s="290">
        <v>45191</v>
      </c>
    </row>
    <row r="267" spans="18:18">
      <c r="R267" s="290">
        <v>45192</v>
      </c>
    </row>
    <row r="268" spans="18:18">
      <c r="R268" s="290">
        <v>45193</v>
      </c>
    </row>
    <row r="269" spans="18:18">
      <c r="R269" s="290">
        <v>45194</v>
      </c>
    </row>
    <row r="270" spans="18:18">
      <c r="R270" s="290">
        <v>45195</v>
      </c>
    </row>
    <row r="271" spans="18:18">
      <c r="R271" s="290">
        <v>45196</v>
      </c>
    </row>
    <row r="272" spans="18:18">
      <c r="R272" s="290">
        <v>45197</v>
      </c>
    </row>
    <row r="273" spans="18:18">
      <c r="R273" s="290">
        <v>45198</v>
      </c>
    </row>
    <row r="274" spans="18:18">
      <c r="R274" s="290">
        <v>45199</v>
      </c>
    </row>
    <row r="275" spans="18:18">
      <c r="R275" s="290">
        <v>45200</v>
      </c>
    </row>
    <row r="276" spans="18:18">
      <c r="R276" s="290">
        <v>45201</v>
      </c>
    </row>
    <row r="277" spans="18:18">
      <c r="R277" s="290">
        <v>45202</v>
      </c>
    </row>
    <row r="278" spans="18:18">
      <c r="R278" s="290">
        <v>45203</v>
      </c>
    </row>
    <row r="279" spans="18:18">
      <c r="R279" s="290">
        <v>45204</v>
      </c>
    </row>
    <row r="280" spans="18:18">
      <c r="R280" s="290">
        <v>45205</v>
      </c>
    </row>
    <row r="281" spans="18:18">
      <c r="R281" s="290">
        <v>45206</v>
      </c>
    </row>
    <row r="282" spans="18:18">
      <c r="R282" s="290">
        <v>45207</v>
      </c>
    </row>
    <row r="283" spans="18:18">
      <c r="R283" s="290">
        <v>45208</v>
      </c>
    </row>
    <row r="284" spans="18:18">
      <c r="R284" s="290">
        <v>45209</v>
      </c>
    </row>
    <row r="285" spans="18:18">
      <c r="R285" s="290">
        <v>45210</v>
      </c>
    </row>
    <row r="286" spans="18:18">
      <c r="R286" s="290">
        <v>45211</v>
      </c>
    </row>
    <row r="287" spans="18:18">
      <c r="R287" s="290">
        <v>45212</v>
      </c>
    </row>
    <row r="288" spans="18:18">
      <c r="R288" s="290">
        <v>45213</v>
      </c>
    </row>
    <row r="289" spans="18:18">
      <c r="R289" s="290">
        <v>45214</v>
      </c>
    </row>
    <row r="290" spans="18:18">
      <c r="R290" s="290">
        <v>45215</v>
      </c>
    </row>
    <row r="291" spans="18:18">
      <c r="R291" s="290">
        <v>45216</v>
      </c>
    </row>
    <row r="292" spans="18:18">
      <c r="R292" s="290">
        <v>45217</v>
      </c>
    </row>
    <row r="293" spans="18:18">
      <c r="R293" s="290">
        <v>45218</v>
      </c>
    </row>
    <row r="294" spans="18:18">
      <c r="R294" s="290">
        <v>45219</v>
      </c>
    </row>
    <row r="295" spans="18:18">
      <c r="R295" s="290">
        <v>45220</v>
      </c>
    </row>
    <row r="296" spans="18:18">
      <c r="R296" s="290">
        <v>45221</v>
      </c>
    </row>
    <row r="297" spans="18:18">
      <c r="R297" s="290">
        <v>45222</v>
      </c>
    </row>
    <row r="298" spans="18:18">
      <c r="R298" s="290">
        <v>45223</v>
      </c>
    </row>
    <row r="299" spans="18:18">
      <c r="R299" s="290">
        <v>45224</v>
      </c>
    </row>
    <row r="300" spans="18:18">
      <c r="R300" s="290">
        <v>45225</v>
      </c>
    </row>
    <row r="301" spans="18:18">
      <c r="R301" s="290">
        <v>45226</v>
      </c>
    </row>
    <row r="302" spans="18:18">
      <c r="R302" s="290">
        <v>45227</v>
      </c>
    </row>
    <row r="303" spans="18:18">
      <c r="R303" s="290">
        <v>45228</v>
      </c>
    </row>
    <row r="304" spans="18:18">
      <c r="R304" s="290">
        <v>45229</v>
      </c>
    </row>
    <row r="305" spans="18:18">
      <c r="R305" s="290">
        <v>45230</v>
      </c>
    </row>
    <row r="306" spans="18:18">
      <c r="R306" s="290">
        <v>45231</v>
      </c>
    </row>
    <row r="307" spans="18:18">
      <c r="R307" s="290">
        <v>45232</v>
      </c>
    </row>
    <row r="308" spans="18:18">
      <c r="R308" s="290">
        <v>45233</v>
      </c>
    </row>
    <row r="309" spans="18:18">
      <c r="R309" s="290">
        <v>45234</v>
      </c>
    </row>
    <row r="310" spans="18:18">
      <c r="R310" s="290">
        <v>45235</v>
      </c>
    </row>
    <row r="311" spans="18:18">
      <c r="R311" s="290">
        <v>45236</v>
      </c>
    </row>
    <row r="312" spans="18:18">
      <c r="R312" s="290">
        <v>45237</v>
      </c>
    </row>
    <row r="313" spans="18:18">
      <c r="R313" s="290">
        <v>45238</v>
      </c>
    </row>
    <row r="314" spans="18:18">
      <c r="R314" s="290">
        <v>45239</v>
      </c>
    </row>
    <row r="315" spans="18:18">
      <c r="R315" s="290">
        <v>45240</v>
      </c>
    </row>
    <row r="316" spans="18:18">
      <c r="R316" s="290">
        <v>45241</v>
      </c>
    </row>
    <row r="317" spans="18:18">
      <c r="R317" s="290">
        <v>45242</v>
      </c>
    </row>
    <row r="318" spans="18:18">
      <c r="R318" s="290">
        <v>45243</v>
      </c>
    </row>
    <row r="319" spans="18:18">
      <c r="R319" s="290">
        <v>45244</v>
      </c>
    </row>
    <row r="320" spans="18:18">
      <c r="R320" s="290">
        <v>45245</v>
      </c>
    </row>
    <row r="321" spans="18:18">
      <c r="R321" s="290">
        <v>45246</v>
      </c>
    </row>
    <row r="322" spans="18:18">
      <c r="R322" s="290">
        <v>45247</v>
      </c>
    </row>
    <row r="323" spans="18:18">
      <c r="R323" s="290">
        <v>45248</v>
      </c>
    </row>
    <row r="324" spans="18:18">
      <c r="R324" s="290">
        <v>45249</v>
      </c>
    </row>
    <row r="325" spans="18:18">
      <c r="R325" s="290">
        <v>45250</v>
      </c>
    </row>
    <row r="326" spans="18:18">
      <c r="R326" s="290">
        <v>45251</v>
      </c>
    </row>
    <row r="327" spans="18:18">
      <c r="R327" s="290">
        <v>45252</v>
      </c>
    </row>
    <row r="328" spans="18:18">
      <c r="R328" s="290">
        <v>45253</v>
      </c>
    </row>
    <row r="329" spans="18:18">
      <c r="R329" s="290">
        <v>45254</v>
      </c>
    </row>
    <row r="330" spans="18:18">
      <c r="R330" s="290">
        <v>45255</v>
      </c>
    </row>
    <row r="331" spans="18:18">
      <c r="R331" s="290">
        <v>45256</v>
      </c>
    </row>
    <row r="332" spans="18:18">
      <c r="R332" s="290">
        <v>45257</v>
      </c>
    </row>
    <row r="333" spans="18:18">
      <c r="R333" s="290">
        <v>45258</v>
      </c>
    </row>
    <row r="334" spans="18:18">
      <c r="R334" s="290">
        <v>45259</v>
      </c>
    </row>
    <row r="335" spans="18:18">
      <c r="R335" s="290">
        <v>45260</v>
      </c>
    </row>
    <row r="336" spans="18:18">
      <c r="R336" s="290">
        <v>45261</v>
      </c>
    </row>
    <row r="337" spans="18:18">
      <c r="R337" s="290">
        <v>45262</v>
      </c>
    </row>
    <row r="338" spans="18:18">
      <c r="R338" s="290">
        <v>45263</v>
      </c>
    </row>
    <row r="339" spans="18:18">
      <c r="R339" s="290">
        <v>45264</v>
      </c>
    </row>
    <row r="340" spans="18:18">
      <c r="R340" s="290">
        <v>45265</v>
      </c>
    </row>
    <row r="341" spans="18:18">
      <c r="R341" s="290">
        <v>45266</v>
      </c>
    </row>
    <row r="342" spans="18:18">
      <c r="R342" s="290">
        <v>45267</v>
      </c>
    </row>
    <row r="343" spans="18:18">
      <c r="R343" s="290">
        <v>45268</v>
      </c>
    </row>
    <row r="344" spans="18:18">
      <c r="R344" s="290">
        <v>45269</v>
      </c>
    </row>
    <row r="345" spans="18:18">
      <c r="R345" s="290">
        <v>45270</v>
      </c>
    </row>
    <row r="346" spans="18:18">
      <c r="R346" s="290">
        <v>45271</v>
      </c>
    </row>
    <row r="347" spans="18:18">
      <c r="R347" s="290">
        <v>45272</v>
      </c>
    </row>
    <row r="348" spans="18:18">
      <c r="R348" s="290">
        <v>45273</v>
      </c>
    </row>
    <row r="349" spans="18:18">
      <c r="R349" s="290">
        <v>45274</v>
      </c>
    </row>
    <row r="350" spans="18:18">
      <c r="R350" s="290">
        <v>45275</v>
      </c>
    </row>
    <row r="351" spans="18:18">
      <c r="R351" s="290">
        <v>45276</v>
      </c>
    </row>
    <row r="352" spans="18:18">
      <c r="R352" s="290">
        <v>45277</v>
      </c>
    </row>
    <row r="353" spans="18:18">
      <c r="R353" s="290">
        <v>45278</v>
      </c>
    </row>
    <row r="354" spans="18:18">
      <c r="R354" s="290">
        <v>45279</v>
      </c>
    </row>
    <row r="355" spans="18:18">
      <c r="R355" s="290">
        <v>45280</v>
      </c>
    </row>
    <row r="356" spans="18:18">
      <c r="R356" s="290">
        <v>45281</v>
      </c>
    </row>
    <row r="357" spans="18:18">
      <c r="R357" s="290">
        <v>45282</v>
      </c>
    </row>
    <row r="358" spans="18:18">
      <c r="R358" s="290">
        <v>45283</v>
      </c>
    </row>
    <row r="359" spans="18:18">
      <c r="R359" s="290">
        <v>45284</v>
      </c>
    </row>
    <row r="360" spans="18:18">
      <c r="R360" s="290">
        <v>45285</v>
      </c>
    </row>
    <row r="361" spans="18:18">
      <c r="R361" s="290">
        <v>45286</v>
      </c>
    </row>
    <row r="362" spans="18:18">
      <c r="R362" s="290">
        <v>45287</v>
      </c>
    </row>
    <row r="363" spans="18:18">
      <c r="R363" s="290">
        <v>45288</v>
      </c>
    </row>
    <row r="364" spans="18:18">
      <c r="R364" s="290">
        <v>45289</v>
      </c>
    </row>
    <row r="365" spans="18:18">
      <c r="R365" s="290">
        <v>45290</v>
      </c>
    </row>
    <row r="366" spans="18:18">
      <c r="R366" s="290">
        <v>45291</v>
      </c>
    </row>
    <row r="367" spans="18:18">
      <c r="R367" s="290">
        <v>45292</v>
      </c>
    </row>
    <row r="368" spans="18:18">
      <c r="R368" s="290">
        <v>45293</v>
      </c>
    </row>
    <row r="369" spans="18:18">
      <c r="R369" s="290">
        <v>45294</v>
      </c>
    </row>
    <row r="370" spans="18:18">
      <c r="R370" s="290">
        <v>45295</v>
      </c>
    </row>
    <row r="371" spans="18:18">
      <c r="R371" s="290">
        <v>45296</v>
      </c>
    </row>
    <row r="372" spans="18:18">
      <c r="R372" s="290">
        <v>45297</v>
      </c>
    </row>
    <row r="373" spans="18:18">
      <c r="R373" s="290">
        <v>45298</v>
      </c>
    </row>
    <row r="374" spans="18:18">
      <c r="R374" s="290">
        <v>45299</v>
      </c>
    </row>
    <row r="375" spans="18:18">
      <c r="R375" s="290">
        <v>45300</v>
      </c>
    </row>
    <row r="376" spans="18:18">
      <c r="R376" s="290">
        <v>45301</v>
      </c>
    </row>
    <row r="377" spans="18:18">
      <c r="R377" s="290">
        <v>45302</v>
      </c>
    </row>
    <row r="378" spans="18:18">
      <c r="R378" s="290">
        <v>45303</v>
      </c>
    </row>
    <row r="379" spans="18:18">
      <c r="R379" s="290">
        <v>45304</v>
      </c>
    </row>
    <row r="380" spans="18:18">
      <c r="R380" s="290">
        <v>45305</v>
      </c>
    </row>
    <row r="381" spans="18:18">
      <c r="R381" s="290">
        <v>45306</v>
      </c>
    </row>
    <row r="382" spans="18:18">
      <c r="R382" s="290">
        <v>45307</v>
      </c>
    </row>
    <row r="383" spans="18:18">
      <c r="R383" s="290">
        <v>45308</v>
      </c>
    </row>
    <row r="384" spans="18:18">
      <c r="R384" s="290">
        <v>45309</v>
      </c>
    </row>
    <row r="385" spans="18:18">
      <c r="R385" s="290">
        <v>45310</v>
      </c>
    </row>
    <row r="386" spans="18:18">
      <c r="R386" s="290">
        <v>45311</v>
      </c>
    </row>
    <row r="387" spans="18:18">
      <c r="R387" s="290">
        <v>45312</v>
      </c>
    </row>
    <row r="388" spans="18:18">
      <c r="R388" s="290">
        <v>45313</v>
      </c>
    </row>
    <row r="389" spans="18:18">
      <c r="R389" s="290">
        <v>45314</v>
      </c>
    </row>
    <row r="390" spans="18:18">
      <c r="R390" s="290">
        <v>45315</v>
      </c>
    </row>
    <row r="391" spans="18:18">
      <c r="R391" s="290">
        <v>45316</v>
      </c>
    </row>
    <row r="392" spans="18:18">
      <c r="R392" s="290">
        <v>45317</v>
      </c>
    </row>
    <row r="393" spans="18:18">
      <c r="R393" s="290">
        <v>45318</v>
      </c>
    </row>
    <row r="394" spans="18:18">
      <c r="R394" s="290">
        <v>45319</v>
      </c>
    </row>
    <row r="395" spans="18:18">
      <c r="R395" s="290">
        <v>45320</v>
      </c>
    </row>
    <row r="396" spans="18:18">
      <c r="R396" s="290">
        <v>45321</v>
      </c>
    </row>
    <row r="397" spans="18:18">
      <c r="R397" s="290">
        <v>45322</v>
      </c>
    </row>
    <row r="398" spans="18:18">
      <c r="R398" s="290">
        <v>45323</v>
      </c>
    </row>
    <row r="399" spans="18:18">
      <c r="R399" s="290">
        <v>45324</v>
      </c>
    </row>
    <row r="400" spans="18:18">
      <c r="R400" s="290">
        <v>45325</v>
      </c>
    </row>
    <row r="401" spans="18:18">
      <c r="R401" s="290">
        <v>45326</v>
      </c>
    </row>
    <row r="402" spans="18:18">
      <c r="R402" s="290">
        <v>45327</v>
      </c>
    </row>
    <row r="403" spans="18:18">
      <c r="R403" s="290">
        <v>45328</v>
      </c>
    </row>
    <row r="404" spans="18:18">
      <c r="R404" s="290">
        <v>45329</v>
      </c>
    </row>
    <row r="405" spans="18:18">
      <c r="R405" s="290">
        <v>45330</v>
      </c>
    </row>
    <row r="406" spans="18:18">
      <c r="R406" s="290">
        <v>45331</v>
      </c>
    </row>
    <row r="407" spans="18:18">
      <c r="R407" s="290">
        <v>45332</v>
      </c>
    </row>
    <row r="408" spans="18:18">
      <c r="R408" s="290">
        <v>45333</v>
      </c>
    </row>
    <row r="409" spans="18:18">
      <c r="R409" s="290">
        <v>45334</v>
      </c>
    </row>
    <row r="410" spans="18:18">
      <c r="R410" s="290">
        <v>45335</v>
      </c>
    </row>
    <row r="411" spans="18:18">
      <c r="R411" s="290">
        <v>45336</v>
      </c>
    </row>
    <row r="412" spans="18:18">
      <c r="R412" s="290">
        <v>45337</v>
      </c>
    </row>
    <row r="413" spans="18:18">
      <c r="R413" s="290">
        <v>45338</v>
      </c>
    </row>
    <row r="414" spans="18:18">
      <c r="R414" s="290">
        <v>45339</v>
      </c>
    </row>
    <row r="415" spans="18:18">
      <c r="R415" s="290">
        <v>45340</v>
      </c>
    </row>
    <row r="416" spans="18:18">
      <c r="R416" s="290">
        <v>45341</v>
      </c>
    </row>
    <row r="417" spans="18:18">
      <c r="R417" s="290">
        <v>45342</v>
      </c>
    </row>
    <row r="418" spans="18:18">
      <c r="R418" s="290">
        <v>45343</v>
      </c>
    </row>
    <row r="419" spans="18:18">
      <c r="R419" s="290">
        <v>45344</v>
      </c>
    </row>
    <row r="420" spans="18:18">
      <c r="R420" s="290">
        <v>45345</v>
      </c>
    </row>
    <row r="421" spans="18:18">
      <c r="R421" s="290">
        <v>45346</v>
      </c>
    </row>
    <row r="422" spans="18:18">
      <c r="R422" s="290">
        <v>45347</v>
      </c>
    </row>
    <row r="423" spans="18:18">
      <c r="R423" s="290">
        <v>45348</v>
      </c>
    </row>
    <row r="424" spans="18:18">
      <c r="R424" s="290">
        <v>45349</v>
      </c>
    </row>
    <row r="425" spans="18:18">
      <c r="R425" s="290">
        <v>45350</v>
      </c>
    </row>
    <row r="426" spans="18:18">
      <c r="R426" s="290">
        <v>45351</v>
      </c>
    </row>
    <row r="427" spans="18:18">
      <c r="R427" s="290">
        <v>45352</v>
      </c>
    </row>
    <row r="428" spans="18:18">
      <c r="R428" s="290">
        <v>45353</v>
      </c>
    </row>
    <row r="429" spans="18:18">
      <c r="R429" s="290">
        <v>45354</v>
      </c>
    </row>
    <row r="430" spans="18:18">
      <c r="R430" s="290">
        <v>45355</v>
      </c>
    </row>
    <row r="431" spans="18:18">
      <c r="R431" s="290">
        <v>45356</v>
      </c>
    </row>
    <row r="432" spans="18:18">
      <c r="R432" s="290">
        <v>45357</v>
      </c>
    </row>
    <row r="433" spans="18:18">
      <c r="R433" s="290">
        <v>45358</v>
      </c>
    </row>
    <row r="434" spans="18:18">
      <c r="R434" s="290">
        <v>45359</v>
      </c>
    </row>
    <row r="435" spans="18:18">
      <c r="R435" s="290">
        <v>45360</v>
      </c>
    </row>
    <row r="436" spans="18:18">
      <c r="R436" s="290">
        <v>45361</v>
      </c>
    </row>
    <row r="437" spans="18:18">
      <c r="R437" s="290">
        <v>45362</v>
      </c>
    </row>
    <row r="438" spans="18:18">
      <c r="R438" s="290">
        <v>45363</v>
      </c>
    </row>
    <row r="439" spans="18:18">
      <c r="R439" s="290">
        <v>45364</v>
      </c>
    </row>
    <row r="440" spans="18:18">
      <c r="R440" s="290">
        <v>45365</v>
      </c>
    </row>
    <row r="441" spans="18:18">
      <c r="R441" s="290">
        <v>45366</v>
      </c>
    </row>
    <row r="442" spans="18:18">
      <c r="R442" s="290">
        <v>45367</v>
      </c>
    </row>
    <row r="443" spans="18:18">
      <c r="R443" s="290">
        <v>45368</v>
      </c>
    </row>
    <row r="444" spans="18:18">
      <c r="R444" s="290">
        <v>45369</v>
      </c>
    </row>
    <row r="445" spans="18:18">
      <c r="R445" s="290">
        <v>45370</v>
      </c>
    </row>
    <row r="446" spans="18:18">
      <c r="R446" s="290">
        <v>45371</v>
      </c>
    </row>
    <row r="447" spans="18:18">
      <c r="R447" s="290">
        <v>45372</v>
      </c>
    </row>
    <row r="448" spans="18:18">
      <c r="R448" s="290">
        <v>45373</v>
      </c>
    </row>
    <row r="449" spans="18:18">
      <c r="R449" s="290">
        <v>45374</v>
      </c>
    </row>
    <row r="450" spans="18:18">
      <c r="R450" s="290">
        <v>45375</v>
      </c>
    </row>
    <row r="451" spans="18:18">
      <c r="R451" s="290">
        <v>45376</v>
      </c>
    </row>
    <row r="452" spans="18:18">
      <c r="R452" s="290">
        <v>45377</v>
      </c>
    </row>
    <row r="453" spans="18:18">
      <c r="R453" s="290">
        <v>45378</v>
      </c>
    </row>
    <row r="454" spans="18:18">
      <c r="R454" s="290">
        <v>45379</v>
      </c>
    </row>
    <row r="455" spans="18:18">
      <c r="R455" s="290">
        <v>45380</v>
      </c>
    </row>
    <row r="456" spans="18:18">
      <c r="R456" s="290">
        <v>45381</v>
      </c>
    </row>
    <row r="457" spans="18:18">
      <c r="R457" s="290">
        <v>45382</v>
      </c>
    </row>
    <row r="458" spans="18:18">
      <c r="R458" s="290">
        <v>45383</v>
      </c>
    </row>
    <row r="459" spans="18:18">
      <c r="R459" s="290">
        <v>45384</v>
      </c>
    </row>
    <row r="460" spans="18:18">
      <c r="R460" s="290">
        <v>45385</v>
      </c>
    </row>
    <row r="461" spans="18:18">
      <c r="R461" s="290">
        <v>45386</v>
      </c>
    </row>
    <row r="462" spans="18:18">
      <c r="R462" s="290">
        <v>45387</v>
      </c>
    </row>
    <row r="463" spans="18:18">
      <c r="R463" s="290">
        <v>45388</v>
      </c>
    </row>
    <row r="464" spans="18:18">
      <c r="R464" s="290">
        <v>45389</v>
      </c>
    </row>
    <row r="465" spans="18:18">
      <c r="R465" s="290">
        <v>45390</v>
      </c>
    </row>
    <row r="466" spans="18:18">
      <c r="R466" s="290">
        <v>45391</v>
      </c>
    </row>
    <row r="467" spans="18:18">
      <c r="R467" s="290">
        <v>45392</v>
      </c>
    </row>
    <row r="468" spans="18:18">
      <c r="R468" s="290">
        <v>45393</v>
      </c>
    </row>
    <row r="469" spans="18:18">
      <c r="R469" s="290">
        <v>45394</v>
      </c>
    </row>
    <row r="470" spans="18:18">
      <c r="R470" s="290">
        <v>45395</v>
      </c>
    </row>
    <row r="471" spans="18:18">
      <c r="R471" s="290">
        <v>45396</v>
      </c>
    </row>
    <row r="472" spans="18:18">
      <c r="R472" s="290">
        <v>45397</v>
      </c>
    </row>
    <row r="473" spans="18:18">
      <c r="R473" s="290">
        <v>45398</v>
      </c>
    </row>
    <row r="474" spans="18:18">
      <c r="R474" s="290">
        <v>45399</v>
      </c>
    </row>
    <row r="475" spans="18:18">
      <c r="R475" s="290">
        <v>45400</v>
      </c>
    </row>
    <row r="476" spans="18:18">
      <c r="R476" s="290">
        <v>45401</v>
      </c>
    </row>
    <row r="477" spans="18:18">
      <c r="R477" s="290">
        <v>45402</v>
      </c>
    </row>
    <row r="478" spans="18:18">
      <c r="R478" s="290">
        <v>45403</v>
      </c>
    </row>
    <row r="479" spans="18:18">
      <c r="R479" s="290">
        <v>45404</v>
      </c>
    </row>
    <row r="480" spans="18:18">
      <c r="R480" s="290">
        <v>45405</v>
      </c>
    </row>
    <row r="481" spans="18:18">
      <c r="R481" s="290">
        <v>45406</v>
      </c>
    </row>
    <row r="482" spans="18:18">
      <c r="R482" s="290">
        <v>45407</v>
      </c>
    </row>
    <row r="483" spans="18:18">
      <c r="R483" s="290">
        <v>45408</v>
      </c>
    </row>
    <row r="484" spans="18:18">
      <c r="R484" s="290">
        <v>45409</v>
      </c>
    </row>
    <row r="485" spans="18:18">
      <c r="R485" s="290">
        <v>45410</v>
      </c>
    </row>
    <row r="486" spans="18:18">
      <c r="R486" s="290">
        <v>45411</v>
      </c>
    </row>
    <row r="487" spans="18:18">
      <c r="R487" s="290">
        <v>45412</v>
      </c>
    </row>
    <row r="488" spans="18:18">
      <c r="R488" s="290">
        <v>45413</v>
      </c>
    </row>
    <row r="489" spans="18:18">
      <c r="R489" s="290">
        <v>45414</v>
      </c>
    </row>
    <row r="490" spans="18:18">
      <c r="R490" s="290">
        <v>45415</v>
      </c>
    </row>
    <row r="491" spans="18:18">
      <c r="R491" s="290">
        <v>45416</v>
      </c>
    </row>
    <row r="492" spans="18:18">
      <c r="R492" s="290">
        <v>45417</v>
      </c>
    </row>
    <row r="493" spans="18:18">
      <c r="R493" s="290">
        <v>45418</v>
      </c>
    </row>
    <row r="494" spans="18:18">
      <c r="R494" s="290">
        <v>45419</v>
      </c>
    </row>
    <row r="495" spans="18:18">
      <c r="R495" s="290">
        <v>45420</v>
      </c>
    </row>
    <row r="496" spans="18:18">
      <c r="R496" s="290">
        <v>45421</v>
      </c>
    </row>
    <row r="497" spans="18:18">
      <c r="R497" s="290">
        <v>45422</v>
      </c>
    </row>
    <row r="498" spans="18:18">
      <c r="R498" s="290">
        <v>45423</v>
      </c>
    </row>
    <row r="499" spans="18:18">
      <c r="R499" s="290">
        <v>45424</v>
      </c>
    </row>
    <row r="500" spans="18:18">
      <c r="R500" s="290">
        <v>45425</v>
      </c>
    </row>
    <row r="501" spans="18:18">
      <c r="R501" s="290">
        <v>45426</v>
      </c>
    </row>
    <row r="502" spans="18:18">
      <c r="R502" s="290">
        <v>45427</v>
      </c>
    </row>
    <row r="503" spans="18:18">
      <c r="R503" s="290">
        <v>45428</v>
      </c>
    </row>
    <row r="504" spans="18:18">
      <c r="R504" s="290">
        <v>45429</v>
      </c>
    </row>
    <row r="505" spans="18:18">
      <c r="R505" s="290">
        <v>45430</v>
      </c>
    </row>
    <row r="506" spans="18:18">
      <c r="R506" s="290">
        <v>45431</v>
      </c>
    </row>
    <row r="507" spans="18:18">
      <c r="R507" s="290">
        <v>45432</v>
      </c>
    </row>
    <row r="508" spans="18:18">
      <c r="R508" s="290">
        <v>45433</v>
      </c>
    </row>
    <row r="509" spans="18:18">
      <c r="R509" s="290">
        <v>45434</v>
      </c>
    </row>
    <row r="510" spans="18:18">
      <c r="R510" s="290">
        <v>45435</v>
      </c>
    </row>
    <row r="511" spans="18:18">
      <c r="R511" s="290">
        <v>45436</v>
      </c>
    </row>
    <row r="512" spans="18:18">
      <c r="R512" s="290">
        <v>45437</v>
      </c>
    </row>
    <row r="513" spans="18:18">
      <c r="R513" s="290">
        <v>45438</v>
      </c>
    </row>
    <row r="514" spans="18:18">
      <c r="R514" s="290">
        <v>45439</v>
      </c>
    </row>
    <row r="515" spans="18:18">
      <c r="R515" s="290">
        <v>45440</v>
      </c>
    </row>
    <row r="516" spans="18:18">
      <c r="R516" s="290">
        <v>45441</v>
      </c>
    </row>
    <row r="517" spans="18:18">
      <c r="R517" s="290">
        <v>45442</v>
      </c>
    </row>
    <row r="518" spans="18:18">
      <c r="R518" s="290">
        <v>45443</v>
      </c>
    </row>
    <row r="519" spans="18:18">
      <c r="R519" s="290">
        <v>45444</v>
      </c>
    </row>
    <row r="520" spans="18:18">
      <c r="R520" s="290">
        <v>45445</v>
      </c>
    </row>
    <row r="521" spans="18:18">
      <c r="R521" s="290">
        <v>45446</v>
      </c>
    </row>
    <row r="522" spans="18:18">
      <c r="R522" s="290">
        <v>45447</v>
      </c>
    </row>
    <row r="523" spans="18:18">
      <c r="R523" s="290">
        <v>45448</v>
      </c>
    </row>
    <row r="524" spans="18:18">
      <c r="R524" s="290">
        <v>45449</v>
      </c>
    </row>
    <row r="525" spans="18:18">
      <c r="R525" s="290">
        <v>45450</v>
      </c>
    </row>
    <row r="526" spans="18:18">
      <c r="R526" s="290">
        <v>45451</v>
      </c>
    </row>
    <row r="527" spans="18:18">
      <c r="R527" s="290">
        <v>45452</v>
      </c>
    </row>
    <row r="528" spans="18:18">
      <c r="R528" s="290">
        <v>45453</v>
      </c>
    </row>
    <row r="529" spans="18:18">
      <c r="R529" s="290">
        <v>45454</v>
      </c>
    </row>
    <row r="530" spans="18:18">
      <c r="R530" s="290">
        <v>45455</v>
      </c>
    </row>
    <row r="531" spans="18:18">
      <c r="R531" s="290">
        <v>45456</v>
      </c>
    </row>
    <row r="532" spans="18:18">
      <c r="R532" s="290">
        <v>45457</v>
      </c>
    </row>
    <row r="533" spans="18:18">
      <c r="R533" s="290">
        <v>45458</v>
      </c>
    </row>
    <row r="534" spans="18:18">
      <c r="R534" s="290">
        <v>45459</v>
      </c>
    </row>
    <row r="535" spans="18:18">
      <c r="R535" s="290">
        <v>45460</v>
      </c>
    </row>
    <row r="536" spans="18:18">
      <c r="R536" s="290">
        <v>45461</v>
      </c>
    </row>
    <row r="537" spans="18:18">
      <c r="R537" s="290">
        <v>45462</v>
      </c>
    </row>
    <row r="538" spans="18:18">
      <c r="R538" s="290">
        <v>45463</v>
      </c>
    </row>
    <row r="539" spans="18:18">
      <c r="R539" s="290">
        <v>45464</v>
      </c>
    </row>
    <row r="540" spans="18:18">
      <c r="R540" s="290">
        <v>45465</v>
      </c>
    </row>
    <row r="541" spans="18:18">
      <c r="R541" s="290">
        <v>45466</v>
      </c>
    </row>
    <row r="542" spans="18:18">
      <c r="R542" s="290">
        <v>45467</v>
      </c>
    </row>
    <row r="543" spans="18:18">
      <c r="R543" s="290">
        <v>45468</v>
      </c>
    </row>
    <row r="544" spans="18:18">
      <c r="R544" s="290">
        <v>45469</v>
      </c>
    </row>
    <row r="545" spans="18:18">
      <c r="R545" s="290">
        <v>45470</v>
      </c>
    </row>
    <row r="546" spans="18:18">
      <c r="R546" s="290">
        <v>45471</v>
      </c>
    </row>
    <row r="547" spans="18:18">
      <c r="R547" s="290">
        <v>45472</v>
      </c>
    </row>
    <row r="548" spans="18:18">
      <c r="R548" s="290">
        <v>45473</v>
      </c>
    </row>
    <row r="549" spans="18:18">
      <c r="R549" s="290">
        <v>45474</v>
      </c>
    </row>
    <row r="550" spans="18:18">
      <c r="R550" s="290">
        <v>45475</v>
      </c>
    </row>
    <row r="551" spans="18:18">
      <c r="R551" s="290">
        <v>45476</v>
      </c>
    </row>
    <row r="552" spans="18:18">
      <c r="R552" s="290">
        <v>45477</v>
      </c>
    </row>
    <row r="553" spans="18:18">
      <c r="R553" s="290">
        <v>45478</v>
      </c>
    </row>
    <row r="554" spans="18:18">
      <c r="R554" s="290">
        <v>45479</v>
      </c>
    </row>
    <row r="555" spans="18:18">
      <c r="R555" s="290">
        <v>45480</v>
      </c>
    </row>
    <row r="556" spans="18:18">
      <c r="R556" s="290">
        <v>45481</v>
      </c>
    </row>
    <row r="557" spans="18:18">
      <c r="R557" s="290">
        <v>45482</v>
      </c>
    </row>
    <row r="558" spans="18:18">
      <c r="R558" s="290">
        <v>45483</v>
      </c>
    </row>
    <row r="559" spans="18:18">
      <c r="R559" s="290">
        <v>45484</v>
      </c>
    </row>
    <row r="560" spans="18:18">
      <c r="R560" s="290">
        <v>45485</v>
      </c>
    </row>
    <row r="561" spans="18:18">
      <c r="R561" s="290">
        <v>45486</v>
      </c>
    </row>
    <row r="562" spans="18:18">
      <c r="R562" s="290">
        <v>45487</v>
      </c>
    </row>
    <row r="563" spans="18:18">
      <c r="R563" s="290">
        <v>45488</v>
      </c>
    </row>
    <row r="564" spans="18:18">
      <c r="R564" s="290">
        <v>45489</v>
      </c>
    </row>
    <row r="565" spans="18:18">
      <c r="R565" s="290">
        <v>45490</v>
      </c>
    </row>
    <row r="566" spans="18:18">
      <c r="R566" s="290">
        <v>45491</v>
      </c>
    </row>
    <row r="567" spans="18:18">
      <c r="R567" s="290">
        <v>45492</v>
      </c>
    </row>
    <row r="568" spans="18:18">
      <c r="R568" s="290">
        <v>45493</v>
      </c>
    </row>
    <row r="569" spans="18:18">
      <c r="R569" s="290">
        <v>45494</v>
      </c>
    </row>
    <row r="570" spans="18:18">
      <c r="R570" s="290">
        <v>45495</v>
      </c>
    </row>
    <row r="571" spans="18:18">
      <c r="R571" s="290">
        <v>45496</v>
      </c>
    </row>
    <row r="572" spans="18:18">
      <c r="R572" s="290">
        <v>45497</v>
      </c>
    </row>
    <row r="573" spans="18:18">
      <c r="R573" s="290">
        <v>45498</v>
      </c>
    </row>
    <row r="574" spans="18:18">
      <c r="R574" s="290">
        <v>45499</v>
      </c>
    </row>
    <row r="575" spans="18:18">
      <c r="R575" s="290">
        <v>45500</v>
      </c>
    </row>
    <row r="576" spans="18:18">
      <c r="R576" s="290">
        <v>45501</v>
      </c>
    </row>
    <row r="577" spans="18:18">
      <c r="R577" s="290">
        <v>45502</v>
      </c>
    </row>
    <row r="578" spans="18:18">
      <c r="R578" s="290">
        <v>45503</v>
      </c>
    </row>
    <row r="579" spans="18:18">
      <c r="R579" s="290">
        <v>45504</v>
      </c>
    </row>
    <row r="580" spans="18:18">
      <c r="R580" s="290">
        <v>45505</v>
      </c>
    </row>
    <row r="581" spans="18:18">
      <c r="R581" s="290">
        <v>45506</v>
      </c>
    </row>
    <row r="582" spans="18:18">
      <c r="R582" s="290">
        <v>45507</v>
      </c>
    </row>
    <row r="583" spans="18:18">
      <c r="R583" s="290">
        <v>45508</v>
      </c>
    </row>
    <row r="584" spans="18:18">
      <c r="R584" s="290">
        <v>45509</v>
      </c>
    </row>
    <row r="585" spans="18:18">
      <c r="R585" s="290">
        <v>45510</v>
      </c>
    </row>
    <row r="586" spans="18:18">
      <c r="R586" s="290">
        <v>45511</v>
      </c>
    </row>
    <row r="587" spans="18:18">
      <c r="R587" s="290">
        <v>45512</v>
      </c>
    </row>
    <row r="588" spans="18:18">
      <c r="R588" s="290">
        <v>45513</v>
      </c>
    </row>
    <row r="589" spans="18:18">
      <c r="R589" s="290">
        <v>45514</v>
      </c>
    </row>
    <row r="590" spans="18:18">
      <c r="R590" s="290">
        <v>45515</v>
      </c>
    </row>
    <row r="591" spans="18:18">
      <c r="R591" s="290">
        <v>45516</v>
      </c>
    </row>
    <row r="592" spans="18:18">
      <c r="R592" s="290">
        <v>45517</v>
      </c>
    </row>
    <row r="593" spans="18:18">
      <c r="R593" s="290">
        <v>45518</v>
      </c>
    </row>
    <row r="594" spans="18:18">
      <c r="R594" s="290">
        <v>45519</v>
      </c>
    </row>
    <row r="595" spans="18:18">
      <c r="R595" s="290">
        <v>45520</v>
      </c>
    </row>
    <row r="596" spans="18:18">
      <c r="R596" s="290">
        <v>45521</v>
      </c>
    </row>
    <row r="597" spans="18:18">
      <c r="R597" s="290">
        <v>45522</v>
      </c>
    </row>
    <row r="598" spans="18:18">
      <c r="R598" s="290">
        <v>45523</v>
      </c>
    </row>
    <row r="599" spans="18:18">
      <c r="R599" s="290">
        <v>45524</v>
      </c>
    </row>
    <row r="600" spans="18:18">
      <c r="R600" s="290">
        <v>45525</v>
      </c>
    </row>
    <row r="601" spans="18:18">
      <c r="R601" s="290">
        <v>45526</v>
      </c>
    </row>
    <row r="602" spans="18:18">
      <c r="R602" s="290">
        <v>45527</v>
      </c>
    </row>
    <row r="603" spans="18:18">
      <c r="R603" s="290">
        <v>45528</v>
      </c>
    </row>
    <row r="604" spans="18:18">
      <c r="R604" s="290">
        <v>45529</v>
      </c>
    </row>
    <row r="605" spans="18:18">
      <c r="R605" s="290">
        <v>45530</v>
      </c>
    </row>
    <row r="606" spans="18:18">
      <c r="R606" s="290">
        <v>45531</v>
      </c>
    </row>
    <row r="607" spans="18:18">
      <c r="R607" s="290">
        <v>45532</v>
      </c>
    </row>
    <row r="608" spans="18:18">
      <c r="R608" s="290">
        <v>45533</v>
      </c>
    </row>
    <row r="609" spans="18:18">
      <c r="R609" s="290">
        <v>45534</v>
      </c>
    </row>
    <row r="610" spans="18:18">
      <c r="R610" s="290">
        <v>45535</v>
      </c>
    </row>
    <row r="611" spans="18:18">
      <c r="R611" s="290">
        <v>45536</v>
      </c>
    </row>
    <row r="612" spans="18:18">
      <c r="R612" s="290">
        <v>45537</v>
      </c>
    </row>
    <row r="613" spans="18:18">
      <c r="R613" s="290">
        <v>45538</v>
      </c>
    </row>
    <row r="614" spans="18:18">
      <c r="R614" s="290">
        <v>45539</v>
      </c>
    </row>
    <row r="615" spans="18:18">
      <c r="R615" s="290">
        <v>45540</v>
      </c>
    </row>
    <row r="616" spans="18:18">
      <c r="R616" s="290">
        <v>45541</v>
      </c>
    </row>
    <row r="617" spans="18:18">
      <c r="R617" s="290">
        <v>45542</v>
      </c>
    </row>
    <row r="618" spans="18:18">
      <c r="R618" s="290">
        <v>45543</v>
      </c>
    </row>
    <row r="619" spans="18:18">
      <c r="R619" s="290">
        <v>45544</v>
      </c>
    </row>
    <row r="620" spans="18:18">
      <c r="R620" s="290">
        <v>45545</v>
      </c>
    </row>
    <row r="621" spans="18:18">
      <c r="R621" s="290">
        <v>45546</v>
      </c>
    </row>
    <row r="622" spans="18:18">
      <c r="R622" s="290">
        <v>45547</v>
      </c>
    </row>
    <row r="623" spans="18:18">
      <c r="R623" s="290">
        <v>45548</v>
      </c>
    </row>
    <row r="624" spans="18:18">
      <c r="R624" s="290">
        <v>45549</v>
      </c>
    </row>
    <row r="625" spans="18:18">
      <c r="R625" s="290">
        <v>45550</v>
      </c>
    </row>
    <row r="626" spans="18:18">
      <c r="R626" s="290">
        <v>45551</v>
      </c>
    </row>
    <row r="627" spans="18:18">
      <c r="R627" s="290">
        <v>45552</v>
      </c>
    </row>
    <row r="628" spans="18:18">
      <c r="R628" s="290">
        <v>45553</v>
      </c>
    </row>
    <row r="629" spans="18:18">
      <c r="R629" s="290">
        <v>45554</v>
      </c>
    </row>
    <row r="630" spans="18:18">
      <c r="R630" s="290">
        <v>45555</v>
      </c>
    </row>
    <row r="631" spans="18:18">
      <c r="R631" s="290">
        <v>45556</v>
      </c>
    </row>
    <row r="632" spans="18:18">
      <c r="R632" s="290">
        <v>45557</v>
      </c>
    </row>
    <row r="633" spans="18:18">
      <c r="R633" s="290">
        <v>45558</v>
      </c>
    </row>
    <row r="634" spans="18:18">
      <c r="R634" s="290">
        <v>45559</v>
      </c>
    </row>
    <row r="635" spans="18:18">
      <c r="R635" s="290">
        <v>45560</v>
      </c>
    </row>
    <row r="636" spans="18:18">
      <c r="R636" s="290">
        <v>45561</v>
      </c>
    </row>
    <row r="637" spans="18:18">
      <c r="R637" s="290">
        <v>45562</v>
      </c>
    </row>
    <row r="638" spans="18:18">
      <c r="R638" s="290">
        <v>45563</v>
      </c>
    </row>
    <row r="639" spans="18:18">
      <c r="R639" s="290">
        <v>45564</v>
      </c>
    </row>
    <row r="640" spans="18:18">
      <c r="R640" s="290">
        <v>45565</v>
      </c>
    </row>
    <row r="641" spans="18:18">
      <c r="R641" s="290">
        <v>45566</v>
      </c>
    </row>
    <row r="642" spans="18:18">
      <c r="R642" s="290">
        <v>45567</v>
      </c>
    </row>
    <row r="643" spans="18:18">
      <c r="R643" s="290">
        <v>45568</v>
      </c>
    </row>
    <row r="644" spans="18:18">
      <c r="R644" s="290">
        <v>45569</v>
      </c>
    </row>
    <row r="645" spans="18:18">
      <c r="R645" s="290">
        <v>45570</v>
      </c>
    </row>
    <row r="646" spans="18:18">
      <c r="R646" s="290">
        <v>45571</v>
      </c>
    </row>
    <row r="647" spans="18:18">
      <c r="R647" s="290">
        <v>45572</v>
      </c>
    </row>
    <row r="648" spans="18:18">
      <c r="R648" s="290">
        <v>45573</v>
      </c>
    </row>
    <row r="649" spans="18:18">
      <c r="R649" s="290">
        <v>45574</v>
      </c>
    </row>
    <row r="650" spans="18:18">
      <c r="R650" s="290">
        <v>45575</v>
      </c>
    </row>
    <row r="651" spans="18:18">
      <c r="R651" s="290">
        <v>45576</v>
      </c>
    </row>
    <row r="652" spans="18:18">
      <c r="R652" s="290">
        <v>45577</v>
      </c>
    </row>
    <row r="653" spans="18:18">
      <c r="R653" s="290">
        <v>45578</v>
      </c>
    </row>
    <row r="654" spans="18:18">
      <c r="R654" s="290">
        <v>45579</v>
      </c>
    </row>
    <row r="655" spans="18:18">
      <c r="R655" s="290">
        <v>45580</v>
      </c>
    </row>
    <row r="656" spans="18:18">
      <c r="R656" s="290">
        <v>45581</v>
      </c>
    </row>
    <row r="657" spans="18:18">
      <c r="R657" s="290">
        <v>45582</v>
      </c>
    </row>
    <row r="658" spans="18:18">
      <c r="R658" s="290">
        <v>45583</v>
      </c>
    </row>
    <row r="659" spans="18:18">
      <c r="R659" s="290">
        <v>45584</v>
      </c>
    </row>
    <row r="660" spans="18:18">
      <c r="R660" s="290">
        <v>45585</v>
      </c>
    </row>
    <row r="661" spans="18:18">
      <c r="R661" s="290">
        <v>45586</v>
      </c>
    </row>
    <row r="662" spans="18:18">
      <c r="R662" s="290">
        <v>45587</v>
      </c>
    </row>
    <row r="663" spans="18:18">
      <c r="R663" s="290">
        <v>45588</v>
      </c>
    </row>
    <row r="664" spans="18:18">
      <c r="R664" s="290">
        <v>45589</v>
      </c>
    </row>
    <row r="665" spans="18:18">
      <c r="R665" s="290">
        <v>45590</v>
      </c>
    </row>
    <row r="666" spans="18:18">
      <c r="R666" s="290">
        <v>45591</v>
      </c>
    </row>
    <row r="667" spans="18:18">
      <c r="R667" s="290">
        <v>45592</v>
      </c>
    </row>
    <row r="668" spans="18:18">
      <c r="R668" s="290">
        <v>45593</v>
      </c>
    </row>
    <row r="669" spans="18:18">
      <c r="R669" s="290">
        <v>45594</v>
      </c>
    </row>
    <row r="670" spans="18:18">
      <c r="R670" s="290">
        <v>45595</v>
      </c>
    </row>
    <row r="671" spans="18:18">
      <c r="R671" s="290">
        <v>45596</v>
      </c>
    </row>
    <row r="672" spans="18:18">
      <c r="R672" s="290">
        <v>45597</v>
      </c>
    </row>
    <row r="673" spans="18:18">
      <c r="R673" s="290">
        <v>45598</v>
      </c>
    </row>
    <row r="674" spans="18:18">
      <c r="R674" s="290">
        <v>45599</v>
      </c>
    </row>
    <row r="675" spans="18:18">
      <c r="R675" s="290">
        <v>45600</v>
      </c>
    </row>
    <row r="676" spans="18:18">
      <c r="R676" s="290">
        <v>45601</v>
      </c>
    </row>
    <row r="677" spans="18:18">
      <c r="R677" s="290">
        <v>45602</v>
      </c>
    </row>
    <row r="678" spans="18:18">
      <c r="R678" s="290">
        <v>45603</v>
      </c>
    </row>
    <row r="679" spans="18:18">
      <c r="R679" s="290">
        <v>45604</v>
      </c>
    </row>
    <row r="680" spans="18:18">
      <c r="R680" s="290">
        <v>45605</v>
      </c>
    </row>
    <row r="681" spans="18:18">
      <c r="R681" s="290">
        <v>45606</v>
      </c>
    </row>
    <row r="682" spans="18:18">
      <c r="R682" s="290">
        <v>45607</v>
      </c>
    </row>
    <row r="683" spans="18:18">
      <c r="R683" s="290">
        <v>45608</v>
      </c>
    </row>
    <row r="684" spans="18:18">
      <c r="R684" s="290">
        <v>45609</v>
      </c>
    </row>
    <row r="685" spans="18:18">
      <c r="R685" s="290">
        <v>45610</v>
      </c>
    </row>
    <row r="686" spans="18:18">
      <c r="R686" s="290">
        <v>45611</v>
      </c>
    </row>
    <row r="687" spans="18:18">
      <c r="R687" s="290">
        <v>45612</v>
      </c>
    </row>
    <row r="688" spans="18:18">
      <c r="R688" s="290">
        <v>45613</v>
      </c>
    </row>
    <row r="689" spans="18:18">
      <c r="R689" s="290">
        <v>45614</v>
      </c>
    </row>
    <row r="690" spans="18:18">
      <c r="R690" s="290">
        <v>45615</v>
      </c>
    </row>
    <row r="691" spans="18:18">
      <c r="R691" s="290">
        <v>45616</v>
      </c>
    </row>
    <row r="692" spans="18:18">
      <c r="R692" s="290">
        <v>45617</v>
      </c>
    </row>
    <row r="693" spans="18:18">
      <c r="R693" s="290">
        <v>45618</v>
      </c>
    </row>
    <row r="694" spans="18:18">
      <c r="R694" s="290">
        <v>45619</v>
      </c>
    </row>
    <row r="695" spans="18:18">
      <c r="R695" s="290">
        <v>45620</v>
      </c>
    </row>
    <row r="696" spans="18:18">
      <c r="R696" s="290">
        <v>45621</v>
      </c>
    </row>
    <row r="697" spans="18:18">
      <c r="R697" s="290">
        <v>45622</v>
      </c>
    </row>
    <row r="698" spans="18:18">
      <c r="R698" s="290">
        <v>45623</v>
      </c>
    </row>
    <row r="699" spans="18:18">
      <c r="R699" s="290">
        <v>45624</v>
      </c>
    </row>
    <row r="700" spans="18:18">
      <c r="R700" s="290">
        <v>45625</v>
      </c>
    </row>
    <row r="701" spans="18:18">
      <c r="R701" s="290">
        <v>45626</v>
      </c>
    </row>
    <row r="702" spans="18:18">
      <c r="R702" s="290">
        <v>45627</v>
      </c>
    </row>
    <row r="703" spans="18:18">
      <c r="R703" s="290">
        <v>45628</v>
      </c>
    </row>
    <row r="704" spans="18:18">
      <c r="R704" s="290">
        <v>45629</v>
      </c>
    </row>
    <row r="705" spans="18:18">
      <c r="R705" s="290">
        <v>45630</v>
      </c>
    </row>
    <row r="706" spans="18:18">
      <c r="R706" s="290">
        <v>45631</v>
      </c>
    </row>
    <row r="707" spans="18:18">
      <c r="R707" s="290">
        <v>45632</v>
      </c>
    </row>
    <row r="708" spans="18:18">
      <c r="R708" s="290">
        <v>45633</v>
      </c>
    </row>
    <row r="709" spans="18:18">
      <c r="R709" s="290">
        <v>45634</v>
      </c>
    </row>
    <row r="710" spans="18:18">
      <c r="R710" s="290">
        <v>45635</v>
      </c>
    </row>
    <row r="711" spans="18:18">
      <c r="R711" s="290">
        <v>45636</v>
      </c>
    </row>
    <row r="712" spans="18:18">
      <c r="R712" s="290">
        <v>45637</v>
      </c>
    </row>
    <row r="713" spans="18:18">
      <c r="R713" s="290">
        <v>45638</v>
      </c>
    </row>
    <row r="714" spans="18:18">
      <c r="R714" s="290">
        <v>45639</v>
      </c>
    </row>
    <row r="715" spans="18:18">
      <c r="R715" s="290">
        <v>45640</v>
      </c>
    </row>
    <row r="716" spans="18:18">
      <c r="R716" s="290">
        <v>45641</v>
      </c>
    </row>
    <row r="717" spans="18:18">
      <c r="R717" s="290">
        <v>45642</v>
      </c>
    </row>
    <row r="718" spans="18:18">
      <c r="R718" s="290">
        <v>45643</v>
      </c>
    </row>
    <row r="719" spans="18:18">
      <c r="R719" s="290">
        <v>45644</v>
      </c>
    </row>
    <row r="720" spans="18:18">
      <c r="R720" s="290">
        <v>45645</v>
      </c>
    </row>
    <row r="721" spans="18:18">
      <c r="R721" s="290">
        <v>45646</v>
      </c>
    </row>
    <row r="722" spans="18:18">
      <c r="R722" s="290">
        <v>45647</v>
      </c>
    </row>
    <row r="723" spans="18:18">
      <c r="R723" s="290">
        <v>45648</v>
      </c>
    </row>
    <row r="724" spans="18:18">
      <c r="R724" s="290">
        <v>45649</v>
      </c>
    </row>
    <row r="725" spans="18:18">
      <c r="R725" s="290">
        <v>45650</v>
      </c>
    </row>
    <row r="726" spans="18:18">
      <c r="R726" s="290">
        <v>45651</v>
      </c>
    </row>
    <row r="727" spans="18:18">
      <c r="R727" s="290">
        <v>45652</v>
      </c>
    </row>
    <row r="728" spans="18:18">
      <c r="R728" s="290">
        <v>45653</v>
      </c>
    </row>
    <row r="729" spans="18:18">
      <c r="R729" s="290">
        <v>45654</v>
      </c>
    </row>
    <row r="730" spans="18:18">
      <c r="R730" s="290">
        <v>45655</v>
      </c>
    </row>
    <row r="731" spans="18:18">
      <c r="R731" s="290">
        <v>45656</v>
      </c>
    </row>
  </sheetData>
  <mergeCells count="7">
    <mergeCell ref="F11:M12"/>
    <mergeCell ref="F3:H3"/>
    <mergeCell ref="F4:H4"/>
    <mergeCell ref="F7:H7"/>
    <mergeCell ref="L7:M7"/>
    <mergeCell ref="F8:H8"/>
    <mergeCell ref="L8:M8"/>
  </mergeCells>
  <conditionalFormatting sqref="C26:C28">
    <cfRule type="expression" dxfId="11" priority="2">
      <formula>C26&gt;99999</formula>
    </cfRule>
  </conditionalFormatting>
  <conditionalFormatting sqref="F11">
    <cfRule type="expression" dxfId="10" priority="1">
      <formula>$F$11=FALSE</formula>
    </cfRule>
  </conditionalFormatting>
  <dataValidations count="5">
    <dataValidation type="list" showErrorMessage="1" errorTitle="Error" error="Please enter a valid number._x000a__x000a_If you don't have an agreed Freetime with HL, keep here as 0." sqref="C12" xr:uid="{AA772540-76A0-4307-9927-DDF0DA67F040}">
      <formula1>$T$1:$T$21</formula1>
    </dataValidation>
    <dataValidation type="list" allowBlank="1" showInputMessage="1" showErrorMessage="1" sqref="C7:C8" xr:uid="{4BAC01E0-2753-4C21-B4DB-1B8DF61E854D}">
      <formula1>$R$1:$R$731</formula1>
    </dataValidation>
    <dataValidation type="list" allowBlank="1" showInputMessage="1" showErrorMessage="1" sqref="C5" xr:uid="{97937A9D-8B60-491E-842E-E2037A6D2FA6}">
      <formula1>$S$1:$S$3</formula1>
    </dataValidation>
    <dataValidation type="list" allowBlank="1" showInputMessage="1" showErrorMessage="1" sqref="C4" xr:uid="{67006E9B-98C1-46F4-9086-5F3355B507B2}">
      <formula1>$Q$1:$Q$6</formula1>
    </dataValidation>
    <dataValidation type="list" allowBlank="1" showInputMessage="1" showErrorMessage="1" sqref="C3" xr:uid="{5F9241A2-7462-42F0-B7D8-1E7B70A62BC5}">
      <formula1>$P$1:$P$5</formula1>
    </dataValidation>
  </dataValidation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22B6-52AF-4490-9355-94DE68E7B347}">
  <sheetPr codeName="Sheet7"/>
  <dimension ref="A1:O110"/>
  <sheetViews>
    <sheetView showGridLines="0" workbookViewId="0">
      <pane xSplit="2" ySplit="2" topLeftCell="C3" activePane="bottomRight" state="frozen"/>
      <selection activeCell="L24" sqref="L24:O25"/>
      <selection pane="topRight" activeCell="L24" sqref="L24:O25"/>
      <selection pane="bottomLeft" activeCell="L24" sqref="L24:O25"/>
      <selection pane="bottomRight" activeCell="P18" sqref="P18"/>
    </sheetView>
  </sheetViews>
  <sheetFormatPr defaultColWidth="9.140625" defaultRowHeight="15"/>
  <cols>
    <col min="1" max="1" width="26.7109375" style="69" bestFit="1" customWidth="1"/>
    <col min="2" max="2" width="13.7109375" style="69" bestFit="1" customWidth="1"/>
    <col min="3" max="3" width="9.140625" style="69"/>
    <col min="4" max="4" width="11.140625" style="69" customWidth="1"/>
    <col min="5" max="6" width="9.140625" style="69"/>
    <col min="7" max="7" width="11.140625" style="69" customWidth="1"/>
    <col min="8" max="8" width="9.140625" style="69"/>
  </cols>
  <sheetData>
    <row r="1" spans="1:15" ht="18.75">
      <c r="A1" s="56"/>
      <c r="B1" s="56"/>
      <c r="C1" s="57" t="s">
        <v>8</v>
      </c>
      <c r="D1" s="58" t="s">
        <v>8</v>
      </c>
      <c r="E1" s="59" t="s">
        <v>8</v>
      </c>
      <c r="F1" s="57" t="s">
        <v>55</v>
      </c>
      <c r="G1" s="58" t="s">
        <v>55</v>
      </c>
      <c r="H1" s="59" t="s">
        <v>55</v>
      </c>
      <c r="I1" s="57" t="s">
        <v>10</v>
      </c>
      <c r="J1" s="58" t="s">
        <v>10</v>
      </c>
      <c r="K1" s="59" t="s">
        <v>10</v>
      </c>
      <c r="L1" s="57" t="s">
        <v>57</v>
      </c>
      <c r="M1" s="58" t="s">
        <v>57</v>
      </c>
      <c r="N1" s="59" t="s">
        <v>57</v>
      </c>
    </row>
    <row r="2" spans="1:15" ht="18.75">
      <c r="A2" s="56" t="s">
        <v>180</v>
      </c>
      <c r="B2" s="56" t="s">
        <v>11</v>
      </c>
      <c r="C2" s="60" t="s">
        <v>2</v>
      </c>
      <c r="D2" s="60" t="s">
        <v>3</v>
      </c>
      <c r="E2" s="60" t="s">
        <v>4</v>
      </c>
      <c r="F2" s="60" t="s">
        <v>2</v>
      </c>
      <c r="G2" s="60" t="s">
        <v>3</v>
      </c>
      <c r="H2" s="60" t="s">
        <v>4</v>
      </c>
      <c r="I2" s="60" t="s">
        <v>2</v>
      </c>
      <c r="J2" s="60" t="s">
        <v>3</v>
      </c>
      <c r="K2" s="60" t="s">
        <v>4</v>
      </c>
      <c r="L2" s="60" t="s">
        <v>2</v>
      </c>
      <c r="M2" s="60" t="s">
        <v>3</v>
      </c>
      <c r="N2" s="60" t="s">
        <v>4</v>
      </c>
    </row>
    <row r="3" spans="1:15" ht="18.75">
      <c r="A3" s="61" t="s">
        <v>178</v>
      </c>
      <c r="B3" s="62" t="s">
        <v>1</v>
      </c>
      <c r="C3" s="63">
        <v>7</v>
      </c>
      <c r="D3" s="64"/>
      <c r="E3" s="63"/>
      <c r="F3" s="63">
        <v>7</v>
      </c>
      <c r="G3" s="64" t="s">
        <v>43</v>
      </c>
      <c r="H3" s="63"/>
      <c r="I3" s="63">
        <v>2</v>
      </c>
      <c r="J3" s="64" t="s">
        <v>43</v>
      </c>
      <c r="K3" s="63"/>
      <c r="L3" s="63">
        <v>2</v>
      </c>
      <c r="M3" s="64"/>
      <c r="N3" s="63"/>
      <c r="O3" s="102"/>
    </row>
    <row r="4" spans="1:15" ht="18.75">
      <c r="A4" s="61" t="s">
        <v>178</v>
      </c>
      <c r="B4" s="65" t="s">
        <v>5</v>
      </c>
      <c r="C4" s="66">
        <v>5</v>
      </c>
      <c r="D4" s="66" t="s">
        <v>19</v>
      </c>
      <c r="E4" s="66">
        <v>38</v>
      </c>
      <c r="F4" s="66">
        <v>5</v>
      </c>
      <c r="G4" s="66" t="s">
        <v>19</v>
      </c>
      <c r="H4" s="66">
        <v>57</v>
      </c>
      <c r="I4" s="66"/>
      <c r="J4" s="66"/>
      <c r="K4" s="66"/>
      <c r="L4" s="66"/>
      <c r="M4" s="66"/>
      <c r="N4" s="66"/>
      <c r="O4" s="117"/>
    </row>
    <row r="5" spans="1:15" s="69" customFormat="1" ht="18.75">
      <c r="A5" s="61" t="s">
        <v>178</v>
      </c>
      <c r="B5" s="67" t="s">
        <v>0</v>
      </c>
      <c r="C5" s="68">
        <v>9999999</v>
      </c>
      <c r="D5" s="66" t="s">
        <v>19</v>
      </c>
      <c r="E5" s="68">
        <v>57</v>
      </c>
      <c r="F5" s="68">
        <v>9999999</v>
      </c>
      <c r="G5" s="66" t="s">
        <v>19</v>
      </c>
      <c r="H5" s="68">
        <v>77</v>
      </c>
      <c r="I5" s="68">
        <v>9999999</v>
      </c>
      <c r="J5" s="66" t="s">
        <v>19</v>
      </c>
      <c r="K5" s="68">
        <v>155</v>
      </c>
      <c r="L5" s="68">
        <v>9999999</v>
      </c>
      <c r="M5" s="66" t="s">
        <v>19</v>
      </c>
      <c r="N5" s="68">
        <v>155</v>
      </c>
      <c r="O5" s="117"/>
    </row>
    <row r="6" spans="1:15" s="69" customFormat="1" ht="18.75">
      <c r="A6" s="70" t="s">
        <v>152</v>
      </c>
      <c r="B6" s="71" t="s">
        <v>1</v>
      </c>
      <c r="C6" s="72">
        <v>7</v>
      </c>
      <c r="D6" s="73"/>
      <c r="E6" s="72"/>
      <c r="F6" s="72">
        <v>7</v>
      </c>
      <c r="G6" s="73"/>
      <c r="H6" s="72"/>
      <c r="I6" s="72">
        <v>0</v>
      </c>
      <c r="J6" s="73"/>
      <c r="K6" s="72"/>
      <c r="L6" s="72">
        <v>0</v>
      </c>
      <c r="M6" s="73"/>
      <c r="N6" s="72"/>
      <c r="O6" s="117"/>
    </row>
    <row r="7" spans="1:15" s="69" customFormat="1" ht="18.75">
      <c r="A7" s="70" t="s">
        <v>152</v>
      </c>
      <c r="B7" s="74" t="s">
        <v>0</v>
      </c>
      <c r="C7" s="75">
        <v>9999999</v>
      </c>
      <c r="D7" s="76" t="s">
        <v>19</v>
      </c>
      <c r="E7" s="75">
        <v>14</v>
      </c>
      <c r="F7" s="75">
        <v>9999999</v>
      </c>
      <c r="G7" s="76" t="s">
        <v>19</v>
      </c>
      <c r="H7" s="75">
        <v>28</v>
      </c>
      <c r="I7" s="75">
        <v>9999999</v>
      </c>
      <c r="J7" s="76" t="s">
        <v>19</v>
      </c>
      <c r="K7" s="75">
        <v>60</v>
      </c>
      <c r="L7" s="75">
        <v>9999999</v>
      </c>
      <c r="M7" s="76" t="s">
        <v>19</v>
      </c>
      <c r="N7" s="75">
        <v>60</v>
      </c>
      <c r="O7" s="117"/>
    </row>
    <row r="8" spans="1:15" ht="18.75">
      <c r="A8" s="61" t="s">
        <v>142</v>
      </c>
      <c r="B8" s="62" t="s">
        <v>1</v>
      </c>
      <c r="C8" s="63">
        <v>7</v>
      </c>
      <c r="D8" s="64" t="s">
        <v>43</v>
      </c>
      <c r="E8" s="63"/>
      <c r="F8" s="63">
        <v>7</v>
      </c>
      <c r="G8" s="64" t="s">
        <v>43</v>
      </c>
      <c r="H8" s="63"/>
      <c r="I8" s="63">
        <v>0</v>
      </c>
      <c r="J8" s="64" t="s">
        <v>43</v>
      </c>
      <c r="K8" s="63"/>
      <c r="L8" s="63">
        <v>0</v>
      </c>
      <c r="M8" s="64" t="s">
        <v>43</v>
      </c>
      <c r="N8" s="63"/>
      <c r="O8" s="117"/>
    </row>
    <row r="9" spans="1:15" ht="18.75">
      <c r="A9" s="61" t="s">
        <v>142</v>
      </c>
      <c r="B9" s="65" t="s">
        <v>5</v>
      </c>
      <c r="C9" s="66">
        <v>7</v>
      </c>
      <c r="D9" s="66" t="s">
        <v>19</v>
      </c>
      <c r="E9" s="66">
        <v>14</v>
      </c>
      <c r="F9" s="66">
        <v>7</v>
      </c>
      <c r="G9" s="66" t="s">
        <v>19</v>
      </c>
      <c r="H9" s="66">
        <v>28</v>
      </c>
      <c r="I9" s="66"/>
      <c r="J9" s="66"/>
      <c r="K9" s="66"/>
      <c r="L9" s="66"/>
      <c r="M9" s="66"/>
      <c r="N9" s="66"/>
    </row>
    <row r="10" spans="1:15" ht="18.75">
      <c r="A10" s="61" t="s">
        <v>142</v>
      </c>
      <c r="B10" s="65" t="s">
        <v>7</v>
      </c>
      <c r="C10" s="66">
        <v>14</v>
      </c>
      <c r="D10" s="66" t="s">
        <v>19</v>
      </c>
      <c r="E10" s="66">
        <v>25</v>
      </c>
      <c r="F10" s="66">
        <v>14</v>
      </c>
      <c r="G10" s="66" t="s">
        <v>19</v>
      </c>
      <c r="H10" s="66">
        <v>50</v>
      </c>
      <c r="I10" s="66"/>
      <c r="J10" s="66"/>
      <c r="K10" s="66"/>
      <c r="L10" s="66"/>
      <c r="M10" s="66"/>
      <c r="N10" s="66"/>
    </row>
    <row r="11" spans="1:15" ht="18.75">
      <c r="A11" s="61" t="s">
        <v>142</v>
      </c>
      <c r="B11" s="67" t="s">
        <v>0</v>
      </c>
      <c r="C11" s="68">
        <v>9999999</v>
      </c>
      <c r="D11" s="66" t="s">
        <v>19</v>
      </c>
      <c r="E11" s="68">
        <v>42</v>
      </c>
      <c r="F11" s="68">
        <v>9999999</v>
      </c>
      <c r="G11" s="66" t="s">
        <v>19</v>
      </c>
      <c r="H11" s="68">
        <v>84</v>
      </c>
      <c r="I11" s="68">
        <v>9999999</v>
      </c>
      <c r="J11" s="66" t="s">
        <v>19</v>
      </c>
      <c r="K11" s="68">
        <v>60</v>
      </c>
      <c r="L11" s="68">
        <v>9999999</v>
      </c>
      <c r="M11" s="66" t="s">
        <v>19</v>
      </c>
      <c r="N11" s="68">
        <v>60</v>
      </c>
    </row>
    <row r="12" spans="1:15" ht="18.75">
      <c r="A12" s="70" t="s">
        <v>143</v>
      </c>
      <c r="B12" s="71" t="s">
        <v>1</v>
      </c>
      <c r="C12" s="72">
        <v>7</v>
      </c>
      <c r="D12" s="73" t="s">
        <v>43</v>
      </c>
      <c r="E12" s="72"/>
      <c r="F12" s="72">
        <v>7</v>
      </c>
      <c r="G12" s="73" t="s">
        <v>43</v>
      </c>
      <c r="H12" s="72"/>
      <c r="I12" s="72">
        <v>0</v>
      </c>
      <c r="J12" s="73" t="s">
        <v>43</v>
      </c>
      <c r="K12" s="72"/>
      <c r="L12" s="72">
        <v>0</v>
      </c>
      <c r="M12" s="73" t="s">
        <v>43</v>
      </c>
      <c r="N12" s="72"/>
    </row>
    <row r="13" spans="1:15" ht="18.75">
      <c r="A13" s="70" t="s">
        <v>143</v>
      </c>
      <c r="B13" s="74" t="s">
        <v>0</v>
      </c>
      <c r="C13" s="75">
        <v>9999999</v>
      </c>
      <c r="D13" s="76" t="s">
        <v>19</v>
      </c>
      <c r="E13" s="75">
        <v>20</v>
      </c>
      <c r="F13" s="75">
        <v>9999999</v>
      </c>
      <c r="G13" s="76" t="s">
        <v>19</v>
      </c>
      <c r="H13" s="75">
        <v>40</v>
      </c>
      <c r="I13" s="75">
        <v>9999999</v>
      </c>
      <c r="J13" s="76" t="s">
        <v>19</v>
      </c>
      <c r="K13" s="75">
        <v>60</v>
      </c>
      <c r="L13" s="75">
        <v>9999999</v>
      </c>
      <c r="M13" s="76" t="s">
        <v>19</v>
      </c>
      <c r="N13" s="75">
        <v>60</v>
      </c>
    </row>
    <row r="14" spans="1:15" ht="18.75">
      <c r="A14" s="61" t="s">
        <v>144</v>
      </c>
      <c r="B14" s="77" t="s">
        <v>1</v>
      </c>
      <c r="C14" s="63">
        <v>7</v>
      </c>
      <c r="D14" s="64" t="s">
        <v>349</v>
      </c>
      <c r="E14" s="78"/>
      <c r="F14" s="63">
        <v>7</v>
      </c>
      <c r="G14" s="64" t="s">
        <v>349</v>
      </c>
      <c r="H14" s="78"/>
      <c r="I14" s="63">
        <v>2</v>
      </c>
      <c r="J14" s="64" t="s">
        <v>43</v>
      </c>
      <c r="K14" s="78"/>
      <c r="L14" s="63">
        <v>2</v>
      </c>
      <c r="M14" s="79" t="s">
        <v>43</v>
      </c>
      <c r="N14" s="63"/>
    </row>
    <row r="15" spans="1:15" ht="18.75">
      <c r="A15" s="61" t="s">
        <v>144</v>
      </c>
      <c r="B15" s="80" t="s">
        <v>5</v>
      </c>
      <c r="C15" s="66">
        <v>3</v>
      </c>
      <c r="D15" s="66" t="s">
        <v>19</v>
      </c>
      <c r="E15" s="81">
        <v>25</v>
      </c>
      <c r="F15" s="66">
        <v>3</v>
      </c>
      <c r="G15" s="66" t="s">
        <v>19</v>
      </c>
      <c r="H15" s="81">
        <v>50</v>
      </c>
      <c r="I15" s="66"/>
      <c r="J15" s="66"/>
      <c r="K15" s="81"/>
      <c r="L15" s="66"/>
      <c r="M15" s="81"/>
      <c r="N15" s="66"/>
    </row>
    <row r="16" spans="1:15" ht="18.75">
      <c r="A16" s="61" t="s">
        <v>144</v>
      </c>
      <c r="B16" s="80" t="s">
        <v>7</v>
      </c>
      <c r="C16" s="66">
        <v>7</v>
      </c>
      <c r="D16" s="66" t="s">
        <v>19</v>
      </c>
      <c r="E16" s="81">
        <v>40</v>
      </c>
      <c r="F16" s="66">
        <v>7</v>
      </c>
      <c r="G16" s="66" t="s">
        <v>19</v>
      </c>
      <c r="H16" s="81">
        <v>80</v>
      </c>
      <c r="I16" s="66"/>
      <c r="J16" s="66"/>
      <c r="K16" s="81"/>
      <c r="L16" s="66"/>
      <c r="M16" s="81"/>
      <c r="N16" s="66"/>
    </row>
    <row r="17" spans="1:14" ht="18.75">
      <c r="A17" s="61" t="s">
        <v>144</v>
      </c>
      <c r="B17" s="82" t="s">
        <v>0</v>
      </c>
      <c r="C17" s="68"/>
      <c r="D17" s="68" t="s">
        <v>19</v>
      </c>
      <c r="E17" s="83">
        <v>60</v>
      </c>
      <c r="F17" s="68"/>
      <c r="G17" s="68" t="s">
        <v>19</v>
      </c>
      <c r="H17" s="83">
        <v>120</v>
      </c>
      <c r="I17" s="68">
        <v>9999999</v>
      </c>
      <c r="J17" s="68"/>
      <c r="K17" s="83">
        <v>60</v>
      </c>
      <c r="L17" s="68">
        <v>9999999</v>
      </c>
      <c r="M17" s="83"/>
      <c r="N17" s="68">
        <v>60</v>
      </c>
    </row>
    <row r="18" spans="1:14" ht="18.75">
      <c r="A18" s="70" t="s">
        <v>145</v>
      </c>
      <c r="B18" s="56" t="s">
        <v>1</v>
      </c>
      <c r="C18" s="76">
        <v>5</v>
      </c>
      <c r="D18" s="76" t="s">
        <v>43</v>
      </c>
      <c r="E18" s="76"/>
      <c r="F18" s="76">
        <v>5</v>
      </c>
      <c r="G18" s="76" t="s">
        <v>43</v>
      </c>
      <c r="H18" s="76"/>
      <c r="I18" s="76">
        <v>0</v>
      </c>
      <c r="J18" s="76" t="s">
        <v>43</v>
      </c>
      <c r="K18" s="84"/>
      <c r="L18" s="76">
        <v>0</v>
      </c>
      <c r="M18" s="84" t="s">
        <v>43</v>
      </c>
      <c r="N18" s="76"/>
    </row>
    <row r="19" spans="1:14" ht="18.75">
      <c r="A19" s="74" t="s">
        <v>145</v>
      </c>
      <c r="B19" s="85" t="s">
        <v>5</v>
      </c>
      <c r="C19" s="76">
        <v>4</v>
      </c>
      <c r="D19" s="86" t="s">
        <v>19</v>
      </c>
      <c r="E19" s="76">
        <v>20</v>
      </c>
      <c r="F19" s="76">
        <v>4</v>
      </c>
      <c r="G19" s="86" t="s">
        <v>19</v>
      </c>
      <c r="H19" s="76">
        <v>40</v>
      </c>
      <c r="I19" s="76"/>
      <c r="J19" s="86"/>
      <c r="K19" s="84"/>
      <c r="L19" s="76"/>
      <c r="M19" s="87"/>
      <c r="N19" s="76"/>
    </row>
    <row r="20" spans="1:14" ht="18.75">
      <c r="A20" s="70" t="s">
        <v>145</v>
      </c>
      <c r="B20" s="85" t="s">
        <v>7</v>
      </c>
      <c r="C20" s="76">
        <v>4</v>
      </c>
      <c r="D20" s="76" t="s">
        <v>19</v>
      </c>
      <c r="E20" s="76">
        <v>30</v>
      </c>
      <c r="F20" s="76">
        <v>4</v>
      </c>
      <c r="G20" s="76" t="s">
        <v>19</v>
      </c>
      <c r="H20" s="76">
        <v>50</v>
      </c>
      <c r="I20" s="76"/>
      <c r="J20" s="76"/>
      <c r="K20" s="84"/>
      <c r="L20" s="76"/>
      <c r="M20" s="84"/>
      <c r="N20" s="76"/>
    </row>
    <row r="21" spans="1:14" ht="18.75">
      <c r="A21" s="70" t="s">
        <v>145</v>
      </c>
      <c r="B21" s="85" t="s">
        <v>219</v>
      </c>
      <c r="C21" s="76">
        <v>30</v>
      </c>
      <c r="D21" s="76" t="s">
        <v>19</v>
      </c>
      <c r="E21" s="76">
        <v>45</v>
      </c>
      <c r="F21" s="76">
        <v>30</v>
      </c>
      <c r="G21" s="76" t="s">
        <v>19</v>
      </c>
      <c r="H21" s="76">
        <v>85</v>
      </c>
      <c r="I21" s="76"/>
      <c r="J21" s="76"/>
      <c r="K21" s="84"/>
      <c r="L21" s="76"/>
      <c r="M21" s="84"/>
      <c r="N21" s="76"/>
    </row>
    <row r="22" spans="1:14" ht="18.75">
      <c r="A22" s="70" t="s">
        <v>145</v>
      </c>
      <c r="B22" s="88" t="s">
        <v>0</v>
      </c>
      <c r="C22" s="75">
        <v>9999999</v>
      </c>
      <c r="D22" s="75" t="s">
        <v>19</v>
      </c>
      <c r="E22" s="75">
        <v>70</v>
      </c>
      <c r="F22" s="75">
        <v>9999999</v>
      </c>
      <c r="G22" s="75" t="s">
        <v>19</v>
      </c>
      <c r="H22" s="75">
        <v>130</v>
      </c>
      <c r="I22" s="75">
        <v>9999999</v>
      </c>
      <c r="J22" s="75" t="s">
        <v>19</v>
      </c>
      <c r="K22" s="89">
        <v>60</v>
      </c>
      <c r="L22" s="75">
        <v>9999999</v>
      </c>
      <c r="M22" s="84" t="s">
        <v>19</v>
      </c>
      <c r="N22" s="75">
        <v>110</v>
      </c>
    </row>
    <row r="23" spans="1:14" ht="18.75">
      <c r="A23" s="61" t="s">
        <v>146</v>
      </c>
      <c r="B23" s="77" t="s">
        <v>1</v>
      </c>
      <c r="C23" s="63">
        <v>6</v>
      </c>
      <c r="D23" s="90" t="s">
        <v>43</v>
      </c>
      <c r="E23" s="63"/>
      <c r="F23" s="63">
        <v>6</v>
      </c>
      <c r="G23" s="64" t="s">
        <v>43</v>
      </c>
      <c r="H23" s="63"/>
      <c r="I23" s="63">
        <v>0</v>
      </c>
      <c r="J23" s="64" t="s">
        <v>43</v>
      </c>
      <c r="K23" s="63"/>
      <c r="L23" s="63">
        <v>0</v>
      </c>
      <c r="M23" s="64" t="s">
        <v>43</v>
      </c>
      <c r="N23" s="63"/>
    </row>
    <row r="24" spans="1:14" ht="18.75">
      <c r="A24" s="61" t="s">
        <v>146</v>
      </c>
      <c r="B24" s="80" t="s">
        <v>5</v>
      </c>
      <c r="C24" s="66">
        <v>8</v>
      </c>
      <c r="D24" s="91" t="s">
        <v>19</v>
      </c>
      <c r="E24" s="66">
        <v>17</v>
      </c>
      <c r="F24" s="66">
        <v>8</v>
      </c>
      <c r="G24" s="66" t="s">
        <v>19</v>
      </c>
      <c r="H24" s="66">
        <v>34</v>
      </c>
      <c r="I24" s="66">
        <v>6</v>
      </c>
      <c r="J24" s="66" t="s">
        <v>19</v>
      </c>
      <c r="K24" s="66">
        <v>60</v>
      </c>
      <c r="L24" s="66">
        <v>6</v>
      </c>
      <c r="M24" s="66" t="s">
        <v>19</v>
      </c>
      <c r="N24" s="66">
        <v>60</v>
      </c>
    </row>
    <row r="25" spans="1:14" ht="18.75">
      <c r="A25" s="61" t="s">
        <v>146</v>
      </c>
      <c r="B25" s="80" t="s">
        <v>7</v>
      </c>
      <c r="C25" s="66">
        <v>14</v>
      </c>
      <c r="D25" s="91" t="s">
        <v>19</v>
      </c>
      <c r="E25" s="66">
        <v>34</v>
      </c>
      <c r="F25" s="66">
        <v>14</v>
      </c>
      <c r="G25" s="66" t="s">
        <v>19</v>
      </c>
      <c r="H25" s="66">
        <v>68</v>
      </c>
      <c r="I25" s="66"/>
      <c r="J25" s="66"/>
      <c r="K25" s="66"/>
      <c r="L25" s="66"/>
      <c r="M25" s="66"/>
      <c r="N25" s="66"/>
    </row>
    <row r="26" spans="1:14" ht="18.75">
      <c r="A26" s="61" t="s">
        <v>146</v>
      </c>
      <c r="B26" s="82" t="s">
        <v>0</v>
      </c>
      <c r="C26" s="68">
        <v>9999999</v>
      </c>
      <c r="D26" s="91" t="s">
        <v>19</v>
      </c>
      <c r="E26" s="68">
        <v>41</v>
      </c>
      <c r="F26" s="68">
        <v>9999999</v>
      </c>
      <c r="G26" s="66" t="s">
        <v>19</v>
      </c>
      <c r="H26" s="68">
        <v>82</v>
      </c>
      <c r="I26" s="68">
        <v>9999999</v>
      </c>
      <c r="J26" s="66" t="s">
        <v>19</v>
      </c>
      <c r="K26" s="68">
        <v>80</v>
      </c>
      <c r="L26" s="68">
        <v>9999999</v>
      </c>
      <c r="M26" s="66" t="s">
        <v>19</v>
      </c>
      <c r="N26" s="68">
        <v>120</v>
      </c>
    </row>
    <row r="27" spans="1:14" ht="18.75">
      <c r="A27" s="70" t="s">
        <v>149</v>
      </c>
      <c r="B27" s="71" t="s">
        <v>1</v>
      </c>
      <c r="C27" s="72">
        <v>7</v>
      </c>
      <c r="D27" s="73" t="s">
        <v>43</v>
      </c>
      <c r="E27" s="72"/>
      <c r="F27" s="72">
        <v>7</v>
      </c>
      <c r="G27" s="73" t="s">
        <v>43</v>
      </c>
      <c r="H27" s="72"/>
      <c r="I27" s="72">
        <v>0</v>
      </c>
      <c r="J27" s="73" t="s">
        <v>43</v>
      </c>
      <c r="K27" s="72"/>
      <c r="L27" s="72">
        <v>0</v>
      </c>
      <c r="M27" s="73" t="s">
        <v>43</v>
      </c>
      <c r="N27" s="72"/>
    </row>
    <row r="28" spans="1:14" ht="18.75">
      <c r="A28" s="70" t="s">
        <v>149</v>
      </c>
      <c r="B28" s="92" t="s">
        <v>5</v>
      </c>
      <c r="C28" s="76">
        <v>4</v>
      </c>
      <c r="D28" s="76" t="s">
        <v>19</v>
      </c>
      <c r="E28" s="76">
        <v>17</v>
      </c>
      <c r="F28" s="76">
        <v>4</v>
      </c>
      <c r="G28" s="76" t="s">
        <v>19</v>
      </c>
      <c r="H28" s="76">
        <v>34</v>
      </c>
      <c r="I28" s="76"/>
      <c r="J28" s="76"/>
      <c r="K28" s="76"/>
      <c r="L28" s="76"/>
      <c r="M28" s="76"/>
      <c r="N28" s="76"/>
    </row>
    <row r="29" spans="1:14" ht="18.75">
      <c r="A29" s="70" t="s">
        <v>149</v>
      </c>
      <c r="B29" s="92" t="s">
        <v>7</v>
      </c>
      <c r="C29" s="76">
        <v>4</v>
      </c>
      <c r="D29" s="76" t="s">
        <v>19</v>
      </c>
      <c r="E29" s="76">
        <v>32</v>
      </c>
      <c r="F29" s="76">
        <v>4</v>
      </c>
      <c r="G29" s="76" t="s">
        <v>19</v>
      </c>
      <c r="H29" s="76">
        <v>64</v>
      </c>
      <c r="I29" s="76"/>
      <c r="J29" s="76"/>
      <c r="K29" s="76"/>
      <c r="L29" s="76"/>
      <c r="M29" s="76"/>
      <c r="N29" s="76"/>
    </row>
    <row r="30" spans="1:14" ht="18.75">
      <c r="A30" s="70" t="s">
        <v>149</v>
      </c>
      <c r="B30" s="74" t="s">
        <v>0</v>
      </c>
      <c r="C30" s="75">
        <v>9999999</v>
      </c>
      <c r="D30" s="76" t="s">
        <v>19</v>
      </c>
      <c r="E30" s="75">
        <v>40</v>
      </c>
      <c r="F30" s="75">
        <v>9999999</v>
      </c>
      <c r="G30" s="76" t="s">
        <v>19</v>
      </c>
      <c r="H30" s="75">
        <v>80</v>
      </c>
      <c r="I30" s="75">
        <v>9999999</v>
      </c>
      <c r="J30" s="76" t="s">
        <v>19</v>
      </c>
      <c r="K30" s="75">
        <v>60</v>
      </c>
      <c r="L30" s="75">
        <v>9999999</v>
      </c>
      <c r="M30" s="76" t="s">
        <v>19</v>
      </c>
      <c r="N30" s="75">
        <v>60</v>
      </c>
    </row>
    <row r="31" spans="1:14" ht="18.75">
      <c r="A31" s="61" t="s">
        <v>154</v>
      </c>
      <c r="B31" s="77" t="s">
        <v>1</v>
      </c>
      <c r="C31" s="63">
        <v>7</v>
      </c>
      <c r="D31" s="90" t="s">
        <v>43</v>
      </c>
      <c r="E31" s="63"/>
      <c r="F31" s="63">
        <v>7</v>
      </c>
      <c r="G31" s="64" t="s">
        <v>43</v>
      </c>
      <c r="H31" s="63"/>
      <c r="I31" s="63">
        <v>0</v>
      </c>
      <c r="J31" s="64" t="s">
        <v>43</v>
      </c>
      <c r="K31" s="63"/>
      <c r="L31" s="63">
        <v>0</v>
      </c>
      <c r="M31" s="64" t="s">
        <v>43</v>
      </c>
      <c r="N31" s="63"/>
    </row>
    <row r="32" spans="1:14" ht="18.75">
      <c r="A32" s="61" t="s">
        <v>154</v>
      </c>
      <c r="B32" s="80" t="s">
        <v>5</v>
      </c>
      <c r="C32" s="66">
        <v>13</v>
      </c>
      <c r="D32" s="91" t="s">
        <v>19</v>
      </c>
      <c r="E32" s="66">
        <v>16</v>
      </c>
      <c r="F32" s="66">
        <v>13</v>
      </c>
      <c r="G32" s="66" t="s">
        <v>19</v>
      </c>
      <c r="H32" s="66">
        <v>32</v>
      </c>
      <c r="I32" s="66"/>
      <c r="J32" s="66"/>
      <c r="K32" s="66"/>
      <c r="L32" s="66"/>
      <c r="M32" s="66"/>
      <c r="N32" s="66"/>
    </row>
    <row r="33" spans="1:14" ht="18.75">
      <c r="A33" s="61" t="s">
        <v>154</v>
      </c>
      <c r="B33" s="80" t="s">
        <v>7</v>
      </c>
      <c r="C33" s="66">
        <v>25</v>
      </c>
      <c r="D33" s="91" t="s">
        <v>19</v>
      </c>
      <c r="E33" s="66">
        <v>34</v>
      </c>
      <c r="F33" s="66">
        <v>25</v>
      </c>
      <c r="G33" s="66" t="s">
        <v>19</v>
      </c>
      <c r="H33" s="66">
        <v>68</v>
      </c>
      <c r="I33" s="66"/>
      <c r="J33" s="66"/>
      <c r="K33" s="66"/>
      <c r="L33" s="66"/>
      <c r="M33" s="66"/>
      <c r="N33" s="66"/>
    </row>
    <row r="34" spans="1:14" ht="18.75">
      <c r="A34" s="61" t="s">
        <v>154</v>
      </c>
      <c r="B34" s="82" t="s">
        <v>0</v>
      </c>
      <c r="C34" s="68">
        <v>9999999</v>
      </c>
      <c r="D34" s="91" t="s">
        <v>19</v>
      </c>
      <c r="E34" s="68">
        <v>46</v>
      </c>
      <c r="F34" s="68">
        <v>9999999</v>
      </c>
      <c r="G34" s="66" t="s">
        <v>19</v>
      </c>
      <c r="H34" s="68">
        <v>92</v>
      </c>
      <c r="I34" s="68">
        <v>9999999</v>
      </c>
      <c r="J34" s="66" t="s">
        <v>19</v>
      </c>
      <c r="K34" s="68">
        <v>60</v>
      </c>
      <c r="L34" s="68">
        <v>9999999</v>
      </c>
      <c r="M34" s="66" t="s">
        <v>19</v>
      </c>
      <c r="N34" s="68">
        <v>60</v>
      </c>
    </row>
    <row r="35" spans="1:14" ht="18.75">
      <c r="A35" s="70" t="s">
        <v>157</v>
      </c>
      <c r="B35" s="71" t="s">
        <v>1</v>
      </c>
      <c r="C35" s="72">
        <v>7</v>
      </c>
      <c r="D35" s="73" t="s">
        <v>43</v>
      </c>
      <c r="E35" s="72"/>
      <c r="F35" s="72">
        <v>7</v>
      </c>
      <c r="G35" s="73" t="s">
        <v>43</v>
      </c>
      <c r="H35" s="72"/>
      <c r="I35" s="72">
        <v>0</v>
      </c>
      <c r="J35" s="73" t="s">
        <v>43</v>
      </c>
      <c r="K35" s="72"/>
      <c r="L35" s="72">
        <v>0</v>
      </c>
      <c r="M35" s="73" t="s">
        <v>43</v>
      </c>
      <c r="N35" s="72"/>
    </row>
    <row r="36" spans="1:14" ht="18.75">
      <c r="A36" s="70" t="s">
        <v>157</v>
      </c>
      <c r="B36" s="92" t="s">
        <v>5</v>
      </c>
      <c r="C36" s="76">
        <v>15</v>
      </c>
      <c r="D36" s="76" t="s">
        <v>19</v>
      </c>
      <c r="E36" s="76">
        <v>15</v>
      </c>
      <c r="F36" s="76">
        <v>15</v>
      </c>
      <c r="G36" s="76" t="s">
        <v>19</v>
      </c>
      <c r="H36" s="76">
        <v>30</v>
      </c>
      <c r="I36" s="76"/>
      <c r="J36" s="76"/>
      <c r="K36" s="76"/>
      <c r="L36" s="76"/>
      <c r="M36" s="76"/>
      <c r="N36" s="76"/>
    </row>
    <row r="37" spans="1:14" ht="18.75">
      <c r="A37" s="71" t="s">
        <v>157</v>
      </c>
      <c r="B37" s="92" t="s">
        <v>0</v>
      </c>
      <c r="C37" s="76">
        <v>9999999</v>
      </c>
      <c r="D37" s="76" t="s">
        <v>19</v>
      </c>
      <c r="E37" s="76">
        <v>21</v>
      </c>
      <c r="F37" s="76">
        <v>9999999</v>
      </c>
      <c r="G37" s="76" t="s">
        <v>19</v>
      </c>
      <c r="H37" s="76">
        <v>42</v>
      </c>
      <c r="I37" s="76">
        <v>9999999</v>
      </c>
      <c r="J37" s="76" t="s">
        <v>19</v>
      </c>
      <c r="K37" s="76">
        <v>60</v>
      </c>
      <c r="L37" s="76">
        <v>9999999</v>
      </c>
      <c r="M37" s="76" t="s">
        <v>19</v>
      </c>
      <c r="N37" s="76">
        <v>60</v>
      </c>
    </row>
    <row r="38" spans="1:14" ht="18.75">
      <c r="A38" s="61" t="s">
        <v>48</v>
      </c>
      <c r="B38" s="77" t="s">
        <v>1</v>
      </c>
      <c r="C38" s="63">
        <v>3</v>
      </c>
      <c r="D38" s="63" t="s">
        <v>43</v>
      </c>
      <c r="E38" s="63"/>
      <c r="F38" s="63">
        <v>3</v>
      </c>
      <c r="G38" s="63" t="s">
        <v>43</v>
      </c>
      <c r="H38" s="63"/>
      <c r="I38" s="63">
        <v>3</v>
      </c>
      <c r="J38" s="63" t="s">
        <v>43</v>
      </c>
      <c r="K38" s="78"/>
      <c r="L38" s="63">
        <v>3</v>
      </c>
      <c r="M38" s="78" t="s">
        <v>43</v>
      </c>
      <c r="N38" s="63"/>
    </row>
    <row r="39" spans="1:14" ht="18.75">
      <c r="A39" s="61" t="s">
        <v>48</v>
      </c>
      <c r="B39" s="82" t="s">
        <v>0</v>
      </c>
      <c r="C39" s="68">
        <v>9999999</v>
      </c>
      <c r="D39" s="68" t="s">
        <v>19</v>
      </c>
      <c r="E39" s="68">
        <v>57</v>
      </c>
      <c r="F39" s="68">
        <v>9999999</v>
      </c>
      <c r="G39" s="68" t="s">
        <v>19</v>
      </c>
      <c r="H39" s="68">
        <v>77</v>
      </c>
      <c r="I39" s="68">
        <v>9999999</v>
      </c>
      <c r="J39" s="68" t="s">
        <v>19</v>
      </c>
      <c r="K39" s="83">
        <v>155</v>
      </c>
      <c r="L39" s="68">
        <v>9999999</v>
      </c>
      <c r="M39" s="83" t="s">
        <v>19</v>
      </c>
      <c r="N39" s="68">
        <v>155</v>
      </c>
    </row>
    <row r="40" spans="1:14">
      <c r="A40"/>
      <c r="B40"/>
      <c r="C40"/>
      <c r="D40"/>
      <c r="E40"/>
      <c r="F40"/>
      <c r="G40"/>
      <c r="H40"/>
    </row>
    <row r="41" spans="1:14">
      <c r="A41"/>
      <c r="B41"/>
      <c r="C41"/>
      <c r="D41"/>
      <c r="E41"/>
      <c r="F41"/>
      <c r="G41"/>
      <c r="H41"/>
    </row>
    <row r="42" spans="1:14">
      <c r="A42"/>
      <c r="B42"/>
      <c r="C42"/>
      <c r="D42"/>
      <c r="E42"/>
      <c r="F42"/>
      <c r="G42"/>
      <c r="H42"/>
    </row>
    <row r="43" spans="1:14">
      <c r="A43"/>
      <c r="B43"/>
      <c r="C43"/>
      <c r="D43"/>
      <c r="E43"/>
      <c r="F43"/>
      <c r="G43"/>
      <c r="H43"/>
    </row>
    <row r="44" spans="1:14">
      <c r="A44"/>
      <c r="B44"/>
      <c r="C44"/>
      <c r="D44"/>
      <c r="E44"/>
      <c r="F44"/>
      <c r="G44"/>
      <c r="H44"/>
    </row>
    <row r="45" spans="1:14">
      <c r="A45"/>
      <c r="B45"/>
      <c r="C45"/>
      <c r="D45"/>
      <c r="E45"/>
      <c r="F45"/>
      <c r="G45"/>
      <c r="H45"/>
    </row>
    <row r="46" spans="1:14">
      <c r="A46"/>
      <c r="B46"/>
      <c r="C46"/>
      <c r="D46"/>
      <c r="E46"/>
      <c r="F46"/>
      <c r="G46"/>
      <c r="H46"/>
    </row>
    <row r="47" spans="1:14">
      <c r="A47"/>
      <c r="B47"/>
      <c r="C47"/>
      <c r="D47"/>
      <c r="E47"/>
      <c r="F47"/>
      <c r="G47"/>
      <c r="H47"/>
    </row>
    <row r="48" spans="1:14">
      <c r="A48"/>
      <c r="B48"/>
      <c r="C48"/>
      <c r="D48"/>
      <c r="E48"/>
      <c r="F48"/>
      <c r="G48"/>
      <c r="H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spans="1:8">
      <c r="A65"/>
      <c r="B65"/>
      <c r="C65"/>
      <c r="D65"/>
      <c r="E65"/>
      <c r="F65"/>
      <c r="G65"/>
      <c r="H65"/>
    </row>
    <row r="66" spans="1:8">
      <c r="A66"/>
      <c r="B66"/>
      <c r="C66"/>
      <c r="D66"/>
      <c r="E66"/>
      <c r="F66"/>
      <c r="G66"/>
      <c r="H66"/>
    </row>
    <row r="67" spans="1:8">
      <c r="A67"/>
      <c r="B67"/>
      <c r="C67"/>
      <c r="D67"/>
      <c r="E67"/>
      <c r="F67"/>
      <c r="G67"/>
      <c r="H67"/>
    </row>
    <row r="68" spans="1:8">
      <c r="A68"/>
      <c r="B68"/>
      <c r="C68"/>
      <c r="D68"/>
      <c r="E68"/>
      <c r="F68"/>
      <c r="G68"/>
      <c r="H68"/>
    </row>
    <row r="69" spans="1:8">
      <c r="A69"/>
      <c r="B69"/>
      <c r="C69"/>
      <c r="D69"/>
      <c r="E69"/>
      <c r="F69"/>
      <c r="G69"/>
      <c r="H69"/>
    </row>
    <row r="70" spans="1:8">
      <c r="A70"/>
      <c r="B70"/>
      <c r="C70"/>
      <c r="D70"/>
      <c r="E70"/>
      <c r="F70"/>
      <c r="G70"/>
      <c r="H70"/>
    </row>
    <row r="71" spans="1:8">
      <c r="A71"/>
      <c r="B71"/>
      <c r="C71"/>
      <c r="D71"/>
      <c r="E71"/>
      <c r="F71"/>
      <c r="G71"/>
      <c r="H71"/>
    </row>
    <row r="72" spans="1:8">
      <c r="A72"/>
      <c r="B72"/>
      <c r="C72"/>
      <c r="D72"/>
      <c r="E72"/>
      <c r="F72"/>
      <c r="G72"/>
      <c r="H72"/>
    </row>
    <row r="73" spans="1:8">
      <c r="A73"/>
      <c r="B73"/>
      <c r="C73"/>
      <c r="D73"/>
      <c r="E73"/>
      <c r="F73"/>
      <c r="G73"/>
      <c r="H73"/>
    </row>
    <row r="74" spans="1:8">
      <c r="A74"/>
      <c r="B74"/>
      <c r="C74"/>
      <c r="D74"/>
      <c r="E74"/>
      <c r="F74"/>
      <c r="G74"/>
      <c r="H74"/>
    </row>
    <row r="75" spans="1:8">
      <c r="A75"/>
      <c r="B75"/>
      <c r="C75"/>
      <c r="D75"/>
      <c r="E75"/>
      <c r="F75"/>
      <c r="G75"/>
      <c r="H75"/>
    </row>
    <row r="76" spans="1:8">
      <c r="C76"/>
      <c r="D76"/>
      <c r="E76"/>
      <c r="F76"/>
      <c r="G76"/>
      <c r="H76"/>
    </row>
    <row r="77" spans="1:8">
      <c r="C77"/>
      <c r="D77"/>
      <c r="E77"/>
      <c r="F77"/>
      <c r="G77"/>
      <c r="H77"/>
    </row>
    <row r="78" spans="1:8">
      <c r="C78"/>
      <c r="D78"/>
      <c r="E78"/>
      <c r="F78"/>
      <c r="G78"/>
      <c r="H78"/>
    </row>
    <row r="79" spans="1:8">
      <c r="C79"/>
      <c r="D79"/>
      <c r="E79"/>
      <c r="F79"/>
      <c r="G79"/>
      <c r="H79"/>
    </row>
    <row r="80" spans="1:8">
      <c r="C80"/>
      <c r="D80"/>
      <c r="E80"/>
      <c r="F80"/>
      <c r="G80"/>
      <c r="H80"/>
    </row>
    <row r="81" spans="3:8">
      <c r="C81"/>
      <c r="D81"/>
      <c r="E81"/>
      <c r="F81"/>
      <c r="G81"/>
      <c r="H81"/>
    </row>
    <row r="82" spans="3:8">
      <c r="C82"/>
      <c r="D82"/>
      <c r="E82"/>
      <c r="F82"/>
      <c r="G82"/>
      <c r="H82"/>
    </row>
    <row r="83" spans="3:8">
      <c r="C83"/>
      <c r="D83"/>
      <c r="E83"/>
      <c r="F83"/>
      <c r="G83"/>
      <c r="H83"/>
    </row>
    <row r="84" spans="3:8">
      <c r="C84"/>
      <c r="D84"/>
      <c r="E84"/>
      <c r="F84"/>
      <c r="G84"/>
      <c r="H84"/>
    </row>
    <row r="85" spans="3:8">
      <c r="C85"/>
      <c r="D85"/>
      <c r="E85"/>
      <c r="F85"/>
      <c r="G85"/>
      <c r="H85"/>
    </row>
    <row r="86" spans="3:8">
      <c r="C86"/>
      <c r="D86"/>
      <c r="E86"/>
      <c r="F86"/>
      <c r="G86"/>
      <c r="H86"/>
    </row>
    <row r="87" spans="3:8">
      <c r="C87"/>
      <c r="D87"/>
      <c r="E87"/>
      <c r="F87"/>
      <c r="G87"/>
      <c r="H87"/>
    </row>
    <row r="88" spans="3:8">
      <c r="C88"/>
      <c r="D88"/>
      <c r="E88"/>
      <c r="F88"/>
      <c r="G88"/>
      <c r="H88"/>
    </row>
    <row r="89" spans="3:8">
      <c r="C89"/>
      <c r="D89"/>
      <c r="E89"/>
      <c r="F89"/>
      <c r="G89"/>
      <c r="H89"/>
    </row>
    <row r="90" spans="3:8">
      <c r="C90"/>
      <c r="D90"/>
      <c r="E90"/>
      <c r="F90"/>
      <c r="G90"/>
      <c r="H90"/>
    </row>
    <row r="91" spans="3:8">
      <c r="C91"/>
      <c r="D91"/>
      <c r="E91"/>
      <c r="F91"/>
      <c r="G91"/>
      <c r="H91"/>
    </row>
    <row r="92" spans="3:8">
      <c r="C92"/>
      <c r="D92"/>
      <c r="E92"/>
      <c r="F92"/>
      <c r="G92"/>
      <c r="H92"/>
    </row>
    <row r="93" spans="3:8">
      <c r="C93"/>
      <c r="D93"/>
      <c r="E93"/>
      <c r="F93"/>
      <c r="G93"/>
      <c r="H93"/>
    </row>
    <row r="94" spans="3:8">
      <c r="C94"/>
      <c r="D94"/>
      <c r="E94"/>
      <c r="F94"/>
      <c r="G94"/>
      <c r="H94"/>
    </row>
    <row r="95" spans="3:8">
      <c r="C95"/>
      <c r="D95"/>
      <c r="E95"/>
      <c r="F95"/>
      <c r="G95"/>
      <c r="H95"/>
    </row>
    <row r="96" spans="3:8">
      <c r="C96"/>
      <c r="D96"/>
      <c r="E96"/>
      <c r="F96"/>
      <c r="G96"/>
      <c r="H96"/>
    </row>
    <row r="97" spans="3:8">
      <c r="C97"/>
      <c r="D97"/>
      <c r="E97"/>
      <c r="F97"/>
      <c r="G97"/>
      <c r="H97"/>
    </row>
    <row r="98" spans="3:8">
      <c r="C98"/>
      <c r="D98"/>
      <c r="E98"/>
      <c r="F98"/>
      <c r="G98"/>
      <c r="H98"/>
    </row>
    <row r="99" spans="3:8">
      <c r="C99"/>
      <c r="D99"/>
      <c r="E99"/>
      <c r="F99"/>
      <c r="G99"/>
      <c r="H99"/>
    </row>
    <row r="100" spans="3:8">
      <c r="C100"/>
      <c r="D100"/>
      <c r="E100"/>
      <c r="F100"/>
      <c r="G100"/>
      <c r="H100"/>
    </row>
    <row r="101" spans="3:8">
      <c r="C101"/>
      <c r="D101"/>
      <c r="E101"/>
      <c r="F101"/>
      <c r="G101"/>
      <c r="H101"/>
    </row>
    <row r="102" spans="3:8">
      <c r="C102"/>
      <c r="D102"/>
      <c r="E102"/>
      <c r="F102"/>
      <c r="G102"/>
      <c r="H102"/>
    </row>
    <row r="103" spans="3:8">
      <c r="C103"/>
      <c r="D103"/>
      <c r="E103"/>
      <c r="F103"/>
      <c r="G103"/>
      <c r="H103"/>
    </row>
    <row r="104" spans="3:8">
      <c r="C104"/>
      <c r="D104"/>
      <c r="E104"/>
      <c r="F104"/>
      <c r="G104"/>
      <c r="H104"/>
    </row>
    <row r="105" spans="3:8">
      <c r="C105"/>
      <c r="D105"/>
      <c r="E105"/>
      <c r="F105"/>
      <c r="G105"/>
      <c r="H105"/>
    </row>
    <row r="106" spans="3:8">
      <c r="C106"/>
      <c r="D106"/>
      <c r="E106"/>
      <c r="F106"/>
      <c r="G106"/>
      <c r="H106"/>
    </row>
    <row r="107" spans="3:8">
      <c r="C107"/>
      <c r="D107"/>
      <c r="E107"/>
      <c r="F107"/>
      <c r="G107"/>
      <c r="H107"/>
    </row>
    <row r="108" spans="3:8">
      <c r="C108"/>
      <c r="D108"/>
      <c r="E108"/>
      <c r="F108"/>
      <c r="G108"/>
      <c r="H108"/>
    </row>
    <row r="109" spans="3:8">
      <c r="C109"/>
      <c r="D109"/>
      <c r="E109"/>
      <c r="F109"/>
      <c r="G109"/>
      <c r="H109"/>
    </row>
    <row r="110" spans="3:8">
      <c r="C110"/>
      <c r="D110"/>
      <c r="E110"/>
      <c r="F110"/>
      <c r="G110"/>
      <c r="H110"/>
    </row>
  </sheetData>
  <sheetProtection algorithmName="SHA-512" hashValue="zbSOiZhobSl8lMxBDx9OTgJ46NYScpX7xyLfMvk93vvcEFTjAMIUKXeXK3/1elWIEc1raW7FUK5SER0T5d2JYA==" saltValue="K28WScA7zwS8L+kvZ2GDEA==" spinCount="100000" sheet="1" formatCells="0" formatColumns="0" formatRows="0" insertColumns="0" insertRows="0" insertHyperlinks="0" deleteColumns="0" deleteRows="0" sort="0" autoFilter="0" pivotTables="0"/>
  <autoFilter ref="A2:N39" xr:uid="{54D922B6-52AF-4490-9355-94DE68E7B347}"/>
  <conditionalFormatting sqref="C76:H1048576">
    <cfRule type="expression" dxfId="9" priority="5">
      <formula>C76=9999999</formula>
    </cfRule>
  </conditionalFormatting>
  <conditionalFormatting sqref="C1:N39">
    <cfRule type="expression" dxfId="8" priority="1">
      <formula>C1=9999999</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C888D-084F-42EB-9A5F-9358FE46ADAE}">
  <dimension ref="A1:O110"/>
  <sheetViews>
    <sheetView showGridLines="0" workbookViewId="0">
      <pane xSplit="2" ySplit="2" topLeftCell="C3" activePane="bottomRight" state="frozen"/>
      <selection activeCell="L24" sqref="L24:O25"/>
      <selection pane="topRight" activeCell="L24" sqref="L24:O25"/>
      <selection pane="bottomLeft" activeCell="L24" sqref="L24:O25"/>
      <selection pane="bottomRight" activeCell="E23" sqref="E23"/>
    </sheetView>
  </sheetViews>
  <sheetFormatPr defaultColWidth="9.140625" defaultRowHeight="15"/>
  <cols>
    <col min="1" max="1" width="26.7109375" style="69" bestFit="1" customWidth="1"/>
    <col min="2" max="2" width="13.7109375" style="69" bestFit="1" customWidth="1"/>
    <col min="3" max="3" width="9.140625" style="69"/>
    <col min="4" max="4" width="11.140625" style="69" customWidth="1"/>
    <col min="5" max="6" width="9.140625" style="69"/>
    <col min="7" max="7" width="11.140625" style="69" customWidth="1"/>
    <col min="8" max="8" width="9.140625" style="69"/>
  </cols>
  <sheetData>
    <row r="1" spans="1:15" ht="18.75">
      <c r="A1" s="56"/>
      <c r="B1" s="56"/>
      <c r="C1" s="57" t="s">
        <v>8</v>
      </c>
      <c r="D1" s="58" t="s">
        <v>8</v>
      </c>
      <c r="E1" s="59" t="s">
        <v>8</v>
      </c>
      <c r="F1" s="57" t="s">
        <v>55</v>
      </c>
      <c r="G1" s="58" t="s">
        <v>55</v>
      </c>
      <c r="H1" s="59" t="s">
        <v>55</v>
      </c>
      <c r="I1" s="57" t="s">
        <v>10</v>
      </c>
      <c r="J1" s="58" t="s">
        <v>10</v>
      </c>
      <c r="K1" s="59" t="s">
        <v>10</v>
      </c>
      <c r="L1" s="57" t="s">
        <v>57</v>
      </c>
      <c r="M1" s="58" t="s">
        <v>57</v>
      </c>
      <c r="N1" s="59" t="s">
        <v>57</v>
      </c>
    </row>
    <row r="2" spans="1:15" ht="18.75">
      <c r="A2" s="56" t="s">
        <v>180</v>
      </c>
      <c r="B2" s="56" t="s">
        <v>11</v>
      </c>
      <c r="C2" s="60" t="s">
        <v>2</v>
      </c>
      <c r="D2" s="60" t="s">
        <v>3</v>
      </c>
      <c r="E2" s="60" t="s">
        <v>4</v>
      </c>
      <c r="F2" s="60" t="s">
        <v>2</v>
      </c>
      <c r="G2" s="60" t="s">
        <v>3</v>
      </c>
      <c r="H2" s="60" t="s">
        <v>4</v>
      </c>
      <c r="I2" s="60" t="s">
        <v>2</v>
      </c>
      <c r="J2" s="60" t="s">
        <v>3</v>
      </c>
      <c r="K2" s="60" t="s">
        <v>4</v>
      </c>
      <c r="L2" s="60" t="s">
        <v>2</v>
      </c>
      <c r="M2" s="60" t="s">
        <v>3</v>
      </c>
      <c r="N2" s="60" t="s">
        <v>4</v>
      </c>
    </row>
    <row r="3" spans="1:15" ht="18.75">
      <c r="A3" s="61" t="s">
        <v>178</v>
      </c>
      <c r="B3" s="62" t="s">
        <v>1</v>
      </c>
      <c r="C3" s="63">
        <v>7</v>
      </c>
      <c r="D3" s="64"/>
      <c r="E3" s="63"/>
      <c r="F3" s="63">
        <v>7</v>
      </c>
      <c r="G3" s="64" t="s">
        <v>43</v>
      </c>
      <c r="H3" s="63"/>
      <c r="I3" s="63">
        <v>2</v>
      </c>
      <c r="J3" s="64" t="s">
        <v>43</v>
      </c>
      <c r="K3" s="63"/>
      <c r="L3" s="63">
        <v>2</v>
      </c>
      <c r="M3" s="64"/>
      <c r="N3" s="63"/>
      <c r="O3" s="102"/>
    </row>
    <row r="4" spans="1:15" ht="18.75">
      <c r="A4" s="61" t="s">
        <v>178</v>
      </c>
      <c r="B4" s="65" t="s">
        <v>5</v>
      </c>
      <c r="C4" s="66">
        <v>5</v>
      </c>
      <c r="D4" s="66" t="s">
        <v>19</v>
      </c>
      <c r="E4" s="66">
        <v>38</v>
      </c>
      <c r="F4" s="66">
        <v>5</v>
      </c>
      <c r="G4" s="66" t="s">
        <v>19</v>
      </c>
      <c r="H4" s="66">
        <v>57</v>
      </c>
      <c r="I4" s="66"/>
      <c r="J4" s="66"/>
      <c r="K4" s="66"/>
      <c r="L4" s="66"/>
      <c r="M4" s="66"/>
      <c r="N4" s="66"/>
      <c r="O4" s="117"/>
    </row>
    <row r="5" spans="1:15" s="69" customFormat="1" ht="18.75">
      <c r="A5" s="61" t="s">
        <v>178</v>
      </c>
      <c r="B5" s="67" t="s">
        <v>0</v>
      </c>
      <c r="C5" s="68">
        <v>9999999</v>
      </c>
      <c r="D5" s="66" t="s">
        <v>19</v>
      </c>
      <c r="E5" s="68">
        <v>57</v>
      </c>
      <c r="F5" s="68">
        <v>9999999</v>
      </c>
      <c r="G5" s="66" t="s">
        <v>19</v>
      </c>
      <c r="H5" s="68">
        <v>77</v>
      </c>
      <c r="I5" s="68">
        <v>9999999</v>
      </c>
      <c r="J5" s="66" t="s">
        <v>19</v>
      </c>
      <c r="K5" s="68">
        <v>155</v>
      </c>
      <c r="L5" s="68">
        <v>9999999</v>
      </c>
      <c r="M5" s="66" t="s">
        <v>19</v>
      </c>
      <c r="N5" s="68">
        <v>155</v>
      </c>
      <c r="O5" s="117"/>
    </row>
    <row r="6" spans="1:15" s="69" customFormat="1" ht="18.75">
      <c r="A6" s="70" t="s">
        <v>152</v>
      </c>
      <c r="B6" s="71" t="s">
        <v>1</v>
      </c>
      <c r="C6" s="72">
        <v>7</v>
      </c>
      <c r="D6" s="73"/>
      <c r="E6" s="72"/>
      <c r="F6" s="72">
        <v>7</v>
      </c>
      <c r="G6" s="73"/>
      <c r="H6" s="72"/>
      <c r="I6" s="72">
        <v>2</v>
      </c>
      <c r="J6" s="73"/>
      <c r="K6" s="72"/>
      <c r="L6" s="72">
        <v>2</v>
      </c>
      <c r="M6" s="73"/>
      <c r="N6" s="72"/>
      <c r="O6" s="117"/>
    </row>
    <row r="7" spans="1:15" s="69" customFormat="1" ht="18.75">
      <c r="A7" s="70" t="s">
        <v>152</v>
      </c>
      <c r="B7" s="74" t="s">
        <v>0</v>
      </c>
      <c r="C7" s="75">
        <v>9999999</v>
      </c>
      <c r="D7" s="76" t="s">
        <v>19</v>
      </c>
      <c r="E7" s="75">
        <v>14</v>
      </c>
      <c r="F7" s="75">
        <v>9999999</v>
      </c>
      <c r="G7" s="76" t="s">
        <v>19</v>
      </c>
      <c r="H7" s="75">
        <v>28</v>
      </c>
      <c r="I7" s="75">
        <v>9999999</v>
      </c>
      <c r="J7" s="76" t="s">
        <v>19</v>
      </c>
      <c r="K7" s="75">
        <v>60</v>
      </c>
      <c r="L7" s="75">
        <v>9999999</v>
      </c>
      <c r="M7" s="76" t="s">
        <v>19</v>
      </c>
      <c r="N7" s="75">
        <v>60</v>
      </c>
      <c r="O7" s="117"/>
    </row>
    <row r="8" spans="1:15" ht="18.75">
      <c r="A8" s="61" t="s">
        <v>142</v>
      </c>
      <c r="B8" s="62" t="s">
        <v>1</v>
      </c>
      <c r="C8" s="63">
        <v>7</v>
      </c>
      <c r="D8" s="64" t="s">
        <v>43</v>
      </c>
      <c r="E8" s="63"/>
      <c r="F8" s="63">
        <v>7</v>
      </c>
      <c r="G8" s="64" t="s">
        <v>43</v>
      </c>
      <c r="H8" s="63"/>
      <c r="I8" s="63">
        <v>2</v>
      </c>
      <c r="J8" s="64" t="s">
        <v>43</v>
      </c>
      <c r="K8" s="63"/>
      <c r="L8" s="63">
        <v>2</v>
      </c>
      <c r="M8" s="64" t="s">
        <v>43</v>
      </c>
      <c r="N8" s="63"/>
      <c r="O8" s="117"/>
    </row>
    <row r="9" spans="1:15" ht="18.75">
      <c r="A9" s="61" t="s">
        <v>142</v>
      </c>
      <c r="B9" s="65" t="s">
        <v>5</v>
      </c>
      <c r="C9" s="66">
        <v>7</v>
      </c>
      <c r="D9" s="66" t="s">
        <v>19</v>
      </c>
      <c r="E9" s="66">
        <v>14</v>
      </c>
      <c r="F9" s="66">
        <v>7</v>
      </c>
      <c r="G9" s="66" t="s">
        <v>19</v>
      </c>
      <c r="H9" s="66">
        <v>28</v>
      </c>
      <c r="I9" s="66"/>
      <c r="J9" s="66"/>
      <c r="K9" s="66"/>
      <c r="L9" s="66"/>
      <c r="M9" s="66"/>
      <c r="N9" s="66"/>
    </row>
    <row r="10" spans="1:15" ht="18.75">
      <c r="A10" s="61" t="s">
        <v>142</v>
      </c>
      <c r="B10" s="65" t="s">
        <v>7</v>
      </c>
      <c r="C10" s="66">
        <v>14</v>
      </c>
      <c r="D10" s="66" t="s">
        <v>19</v>
      </c>
      <c r="E10" s="66">
        <v>25</v>
      </c>
      <c r="F10" s="66">
        <v>14</v>
      </c>
      <c r="G10" s="66" t="s">
        <v>19</v>
      </c>
      <c r="H10" s="66">
        <v>50</v>
      </c>
      <c r="I10" s="66"/>
      <c r="J10" s="66"/>
      <c r="K10" s="66"/>
      <c r="L10" s="66"/>
      <c r="M10" s="66"/>
      <c r="N10" s="66"/>
    </row>
    <row r="11" spans="1:15" ht="18.75">
      <c r="A11" s="61" t="s">
        <v>142</v>
      </c>
      <c r="B11" s="67" t="s">
        <v>0</v>
      </c>
      <c r="C11" s="68">
        <v>9999999</v>
      </c>
      <c r="D11" s="66" t="s">
        <v>19</v>
      </c>
      <c r="E11" s="68">
        <v>42</v>
      </c>
      <c r="F11" s="68">
        <v>9999999</v>
      </c>
      <c r="G11" s="66" t="s">
        <v>19</v>
      </c>
      <c r="H11" s="68">
        <v>84</v>
      </c>
      <c r="I11" s="68">
        <v>9999999</v>
      </c>
      <c r="J11" s="66" t="s">
        <v>19</v>
      </c>
      <c r="K11" s="68">
        <v>60</v>
      </c>
      <c r="L11" s="68">
        <v>9999999</v>
      </c>
      <c r="M11" s="66" t="s">
        <v>19</v>
      </c>
      <c r="N11" s="68">
        <v>60</v>
      </c>
    </row>
    <row r="12" spans="1:15" ht="18.75">
      <c r="A12" s="70" t="s">
        <v>143</v>
      </c>
      <c r="B12" s="71" t="s">
        <v>1</v>
      </c>
      <c r="C12" s="72">
        <v>7</v>
      </c>
      <c r="D12" s="73" t="s">
        <v>43</v>
      </c>
      <c r="E12" s="72"/>
      <c r="F12" s="72">
        <v>7</v>
      </c>
      <c r="G12" s="73" t="s">
        <v>43</v>
      </c>
      <c r="H12" s="72"/>
      <c r="I12" s="72">
        <v>2</v>
      </c>
      <c r="J12" s="73" t="s">
        <v>43</v>
      </c>
      <c r="K12" s="72"/>
      <c r="L12" s="72">
        <v>2</v>
      </c>
      <c r="M12" s="73" t="s">
        <v>43</v>
      </c>
      <c r="N12" s="72"/>
    </row>
    <row r="13" spans="1:15" ht="18.75">
      <c r="A13" s="70" t="s">
        <v>143</v>
      </c>
      <c r="B13" s="74" t="s">
        <v>0</v>
      </c>
      <c r="C13" s="75">
        <v>9999999</v>
      </c>
      <c r="D13" s="76" t="s">
        <v>19</v>
      </c>
      <c r="E13" s="75">
        <v>29</v>
      </c>
      <c r="F13" s="75">
        <v>9999999</v>
      </c>
      <c r="G13" s="76" t="s">
        <v>19</v>
      </c>
      <c r="H13" s="75">
        <v>48</v>
      </c>
      <c r="I13" s="75">
        <v>9999999</v>
      </c>
      <c r="J13" s="76" t="s">
        <v>19</v>
      </c>
      <c r="K13" s="75">
        <v>60</v>
      </c>
      <c r="L13" s="75">
        <v>9999999</v>
      </c>
      <c r="M13" s="76" t="s">
        <v>19</v>
      </c>
      <c r="N13" s="75">
        <v>60</v>
      </c>
    </row>
    <row r="14" spans="1:15" ht="18.75">
      <c r="A14" s="61" t="s">
        <v>144</v>
      </c>
      <c r="B14" s="77" t="s">
        <v>1</v>
      </c>
      <c r="C14" s="63">
        <v>7</v>
      </c>
      <c r="D14" s="64" t="s">
        <v>349</v>
      </c>
      <c r="E14" s="78"/>
      <c r="F14" s="63">
        <v>7</v>
      </c>
      <c r="G14" s="64" t="s">
        <v>349</v>
      </c>
      <c r="H14" s="78"/>
      <c r="I14" s="63">
        <v>2</v>
      </c>
      <c r="J14" s="64" t="s">
        <v>43</v>
      </c>
      <c r="K14" s="78"/>
      <c r="L14" s="63">
        <v>2</v>
      </c>
      <c r="M14" s="79" t="s">
        <v>43</v>
      </c>
      <c r="N14" s="63"/>
    </row>
    <row r="15" spans="1:15" ht="18.75">
      <c r="A15" s="61" t="s">
        <v>144</v>
      </c>
      <c r="B15" s="80" t="s">
        <v>5</v>
      </c>
      <c r="C15" s="66">
        <v>3</v>
      </c>
      <c r="D15" s="66" t="s">
        <v>19</v>
      </c>
      <c r="E15" s="81">
        <v>25</v>
      </c>
      <c r="F15" s="66">
        <v>3</v>
      </c>
      <c r="G15" s="66" t="s">
        <v>19</v>
      </c>
      <c r="H15" s="81">
        <v>50</v>
      </c>
      <c r="I15" s="66"/>
      <c r="J15" s="66"/>
      <c r="K15" s="81"/>
      <c r="L15" s="66"/>
      <c r="M15" s="81"/>
      <c r="N15" s="66"/>
    </row>
    <row r="16" spans="1:15" ht="18.75">
      <c r="A16" s="61" t="s">
        <v>144</v>
      </c>
      <c r="B16" s="80" t="s">
        <v>7</v>
      </c>
      <c r="C16" s="66">
        <v>7</v>
      </c>
      <c r="D16" s="66" t="s">
        <v>19</v>
      </c>
      <c r="E16" s="81">
        <v>40</v>
      </c>
      <c r="F16" s="66">
        <v>7</v>
      </c>
      <c r="G16" s="66" t="s">
        <v>19</v>
      </c>
      <c r="H16" s="81">
        <v>80</v>
      </c>
      <c r="I16" s="66"/>
      <c r="J16" s="66"/>
      <c r="K16" s="81"/>
      <c r="L16" s="66"/>
      <c r="M16" s="81"/>
      <c r="N16" s="66"/>
    </row>
    <row r="17" spans="1:14" ht="18.75">
      <c r="A17" s="61" t="s">
        <v>144</v>
      </c>
      <c r="B17" s="82" t="s">
        <v>0</v>
      </c>
      <c r="C17" s="68"/>
      <c r="D17" s="68" t="s">
        <v>19</v>
      </c>
      <c r="E17" s="83">
        <v>60</v>
      </c>
      <c r="F17" s="68"/>
      <c r="G17" s="68" t="s">
        <v>19</v>
      </c>
      <c r="H17" s="83">
        <v>120</v>
      </c>
      <c r="I17" s="68">
        <v>9999999</v>
      </c>
      <c r="J17" s="68"/>
      <c r="K17" s="83">
        <v>60</v>
      </c>
      <c r="L17" s="68">
        <v>9999999</v>
      </c>
      <c r="M17" s="83"/>
      <c r="N17" s="68">
        <v>60</v>
      </c>
    </row>
    <row r="18" spans="1:14" ht="18.75">
      <c r="A18" s="70" t="s">
        <v>145</v>
      </c>
      <c r="B18" s="56" t="s">
        <v>1</v>
      </c>
      <c r="C18" s="76">
        <v>5</v>
      </c>
      <c r="D18" s="76" t="s">
        <v>43</v>
      </c>
      <c r="E18" s="76"/>
      <c r="F18" s="76">
        <v>5</v>
      </c>
      <c r="G18" s="76" t="s">
        <v>43</v>
      </c>
      <c r="H18" s="76"/>
      <c r="I18" s="76">
        <v>2</v>
      </c>
      <c r="J18" s="76" t="s">
        <v>43</v>
      </c>
      <c r="K18" s="84"/>
      <c r="L18" s="76">
        <v>2</v>
      </c>
      <c r="M18" s="84" t="s">
        <v>43</v>
      </c>
      <c r="N18" s="76"/>
    </row>
    <row r="19" spans="1:14" ht="18.75">
      <c r="A19" s="74" t="s">
        <v>145</v>
      </c>
      <c r="B19" s="85" t="s">
        <v>5</v>
      </c>
      <c r="C19" s="76">
        <v>4</v>
      </c>
      <c r="D19" s="86" t="s">
        <v>19</v>
      </c>
      <c r="E19" s="76">
        <v>20</v>
      </c>
      <c r="F19" s="76">
        <v>4</v>
      </c>
      <c r="G19" s="86" t="s">
        <v>19</v>
      </c>
      <c r="H19" s="76">
        <v>40</v>
      </c>
      <c r="I19" s="76"/>
      <c r="J19" s="86"/>
      <c r="K19" s="84"/>
      <c r="L19" s="76"/>
      <c r="M19" s="87"/>
      <c r="N19" s="76"/>
    </row>
    <row r="20" spans="1:14" ht="18.75">
      <c r="A20" s="70" t="s">
        <v>145</v>
      </c>
      <c r="B20" s="85" t="s">
        <v>7</v>
      </c>
      <c r="C20" s="76">
        <v>4</v>
      </c>
      <c r="D20" s="76" t="s">
        <v>19</v>
      </c>
      <c r="E20" s="76">
        <v>30</v>
      </c>
      <c r="F20" s="76">
        <v>4</v>
      </c>
      <c r="G20" s="76" t="s">
        <v>19</v>
      </c>
      <c r="H20" s="76">
        <v>50</v>
      </c>
      <c r="I20" s="76"/>
      <c r="J20" s="76"/>
      <c r="K20" s="84"/>
      <c r="L20" s="76"/>
      <c r="M20" s="84"/>
      <c r="N20" s="76"/>
    </row>
    <row r="21" spans="1:14" ht="18.75">
      <c r="A21" s="70" t="s">
        <v>145</v>
      </c>
      <c r="B21" s="85" t="s">
        <v>219</v>
      </c>
      <c r="C21" s="76">
        <v>30</v>
      </c>
      <c r="D21" s="76" t="s">
        <v>19</v>
      </c>
      <c r="E21" s="76">
        <v>45</v>
      </c>
      <c r="F21" s="76">
        <v>30</v>
      </c>
      <c r="G21" s="76" t="s">
        <v>19</v>
      </c>
      <c r="H21" s="76">
        <v>85</v>
      </c>
      <c r="I21" s="76"/>
      <c r="J21" s="76"/>
      <c r="K21" s="84"/>
      <c r="L21" s="76"/>
      <c r="M21" s="84"/>
      <c r="N21" s="76"/>
    </row>
    <row r="22" spans="1:14" ht="18.75">
      <c r="A22" s="70" t="s">
        <v>145</v>
      </c>
      <c r="B22" s="88" t="s">
        <v>0</v>
      </c>
      <c r="C22" s="75">
        <v>9999999</v>
      </c>
      <c r="D22" s="75" t="s">
        <v>19</v>
      </c>
      <c r="E22" s="75">
        <v>70</v>
      </c>
      <c r="F22" s="75">
        <v>9999999</v>
      </c>
      <c r="G22" s="75" t="s">
        <v>19</v>
      </c>
      <c r="H22" s="75">
        <v>130</v>
      </c>
      <c r="I22" s="75">
        <v>9999999</v>
      </c>
      <c r="J22" s="75" t="s">
        <v>19</v>
      </c>
      <c r="K22" s="89">
        <v>60</v>
      </c>
      <c r="L22" s="75">
        <v>9999999</v>
      </c>
      <c r="M22" s="84" t="s">
        <v>19</v>
      </c>
      <c r="N22" s="75">
        <v>110</v>
      </c>
    </row>
    <row r="23" spans="1:14" ht="18.75">
      <c r="A23" s="61" t="s">
        <v>146</v>
      </c>
      <c r="B23" s="77" t="s">
        <v>1</v>
      </c>
      <c r="C23" s="63">
        <v>6</v>
      </c>
      <c r="D23" s="90" t="s">
        <v>43</v>
      </c>
      <c r="E23" s="63"/>
      <c r="F23" s="63">
        <v>6</v>
      </c>
      <c r="G23" s="64" t="s">
        <v>43</v>
      </c>
      <c r="H23" s="63"/>
      <c r="I23" s="63">
        <v>2</v>
      </c>
      <c r="J23" s="64" t="s">
        <v>43</v>
      </c>
      <c r="K23" s="63"/>
      <c r="L23" s="63">
        <v>2</v>
      </c>
      <c r="M23" s="64" t="s">
        <v>43</v>
      </c>
      <c r="N23" s="63"/>
    </row>
    <row r="24" spans="1:14" ht="18.75">
      <c r="A24" s="61" t="s">
        <v>146</v>
      </c>
      <c r="B24" s="80" t="s">
        <v>5</v>
      </c>
      <c r="C24" s="66">
        <v>8</v>
      </c>
      <c r="D24" s="91" t="s">
        <v>19</v>
      </c>
      <c r="E24" s="66">
        <v>17</v>
      </c>
      <c r="F24" s="66">
        <v>8</v>
      </c>
      <c r="G24" s="66" t="s">
        <v>19</v>
      </c>
      <c r="H24" s="66">
        <v>34</v>
      </c>
      <c r="I24" s="66">
        <v>4</v>
      </c>
      <c r="J24" s="66" t="s">
        <v>19</v>
      </c>
      <c r="K24" s="66">
        <v>60</v>
      </c>
      <c r="L24" s="66">
        <v>4</v>
      </c>
      <c r="M24" s="66" t="s">
        <v>19</v>
      </c>
      <c r="N24" s="66">
        <v>60</v>
      </c>
    </row>
    <row r="25" spans="1:14" ht="18.75">
      <c r="A25" s="61" t="s">
        <v>146</v>
      </c>
      <c r="B25" s="80" t="s">
        <v>7</v>
      </c>
      <c r="C25" s="66">
        <v>14</v>
      </c>
      <c r="D25" s="91" t="s">
        <v>19</v>
      </c>
      <c r="E25" s="66">
        <v>34</v>
      </c>
      <c r="F25" s="66">
        <v>14</v>
      </c>
      <c r="G25" s="66" t="s">
        <v>19</v>
      </c>
      <c r="H25" s="66">
        <v>68</v>
      </c>
      <c r="I25" s="66"/>
      <c r="J25" s="66"/>
      <c r="K25" s="66"/>
      <c r="L25" s="66"/>
      <c r="M25" s="66"/>
      <c r="N25" s="66"/>
    </row>
    <row r="26" spans="1:14" ht="18.75">
      <c r="A26" s="61" t="s">
        <v>146</v>
      </c>
      <c r="B26" s="82" t="s">
        <v>0</v>
      </c>
      <c r="C26" s="68">
        <v>9999999</v>
      </c>
      <c r="D26" s="91" t="s">
        <v>19</v>
      </c>
      <c r="E26" s="68">
        <v>41</v>
      </c>
      <c r="F26" s="68">
        <v>9999999</v>
      </c>
      <c r="G26" s="66" t="s">
        <v>19</v>
      </c>
      <c r="H26" s="68">
        <v>82</v>
      </c>
      <c r="I26" s="68">
        <v>9999999</v>
      </c>
      <c r="J26" s="66" t="s">
        <v>19</v>
      </c>
      <c r="K26" s="68">
        <v>80</v>
      </c>
      <c r="L26" s="68">
        <v>9999999</v>
      </c>
      <c r="M26" s="66" t="s">
        <v>19</v>
      </c>
      <c r="N26" s="68">
        <v>120</v>
      </c>
    </row>
    <row r="27" spans="1:14" ht="18.75">
      <c r="A27" s="70" t="s">
        <v>149</v>
      </c>
      <c r="B27" s="71" t="s">
        <v>1</v>
      </c>
      <c r="C27" s="72">
        <v>7</v>
      </c>
      <c r="D27" s="73" t="s">
        <v>43</v>
      </c>
      <c r="E27" s="72"/>
      <c r="F27" s="72">
        <v>7</v>
      </c>
      <c r="G27" s="73" t="s">
        <v>43</v>
      </c>
      <c r="H27" s="72"/>
      <c r="I27" s="72">
        <v>2</v>
      </c>
      <c r="J27" s="73" t="s">
        <v>43</v>
      </c>
      <c r="K27" s="72"/>
      <c r="L27" s="72">
        <v>2</v>
      </c>
      <c r="M27" s="73" t="s">
        <v>43</v>
      </c>
      <c r="N27" s="72"/>
    </row>
    <row r="28" spans="1:14" ht="18.75">
      <c r="A28" s="70" t="s">
        <v>149</v>
      </c>
      <c r="B28" s="92" t="s">
        <v>5</v>
      </c>
      <c r="C28" s="76">
        <v>4</v>
      </c>
      <c r="D28" s="76" t="s">
        <v>19</v>
      </c>
      <c r="E28" s="76">
        <v>17</v>
      </c>
      <c r="F28" s="76">
        <v>4</v>
      </c>
      <c r="G28" s="76" t="s">
        <v>19</v>
      </c>
      <c r="H28" s="76">
        <v>34</v>
      </c>
      <c r="I28" s="76"/>
      <c r="J28" s="76"/>
      <c r="K28" s="76"/>
      <c r="L28" s="76"/>
      <c r="M28" s="76"/>
      <c r="N28" s="76"/>
    </row>
    <row r="29" spans="1:14" ht="18.75">
      <c r="A29" s="70" t="s">
        <v>149</v>
      </c>
      <c r="B29" s="92" t="s">
        <v>7</v>
      </c>
      <c r="C29" s="76">
        <v>4</v>
      </c>
      <c r="D29" s="76" t="s">
        <v>19</v>
      </c>
      <c r="E29" s="76">
        <v>32</v>
      </c>
      <c r="F29" s="76">
        <v>4</v>
      </c>
      <c r="G29" s="76" t="s">
        <v>19</v>
      </c>
      <c r="H29" s="76">
        <v>64</v>
      </c>
      <c r="I29" s="76"/>
      <c r="J29" s="76"/>
      <c r="K29" s="76"/>
      <c r="L29" s="76"/>
      <c r="M29" s="76"/>
      <c r="N29" s="76"/>
    </row>
    <row r="30" spans="1:14" ht="18.75">
      <c r="A30" s="70" t="s">
        <v>149</v>
      </c>
      <c r="B30" s="74" t="s">
        <v>0</v>
      </c>
      <c r="C30" s="75">
        <v>9999999</v>
      </c>
      <c r="D30" s="76" t="s">
        <v>19</v>
      </c>
      <c r="E30" s="75">
        <v>40</v>
      </c>
      <c r="F30" s="75">
        <v>9999999</v>
      </c>
      <c r="G30" s="76" t="s">
        <v>19</v>
      </c>
      <c r="H30" s="75">
        <v>80</v>
      </c>
      <c r="I30" s="75">
        <v>9999999</v>
      </c>
      <c r="J30" s="76" t="s">
        <v>19</v>
      </c>
      <c r="K30" s="75">
        <v>60</v>
      </c>
      <c r="L30" s="75">
        <v>9999999</v>
      </c>
      <c r="M30" s="76" t="s">
        <v>19</v>
      </c>
      <c r="N30" s="75">
        <v>60</v>
      </c>
    </row>
    <row r="31" spans="1:14" ht="18.75">
      <c r="A31" s="61" t="s">
        <v>154</v>
      </c>
      <c r="B31" s="77" t="s">
        <v>1</v>
      </c>
      <c r="C31" s="63">
        <v>7</v>
      </c>
      <c r="D31" s="90" t="s">
        <v>43</v>
      </c>
      <c r="E31" s="63"/>
      <c r="F31" s="63">
        <v>7</v>
      </c>
      <c r="G31" s="64" t="s">
        <v>43</v>
      </c>
      <c r="H31" s="63"/>
      <c r="I31" s="63">
        <v>2</v>
      </c>
      <c r="J31" s="64" t="s">
        <v>43</v>
      </c>
      <c r="K31" s="63"/>
      <c r="L31" s="63">
        <v>2</v>
      </c>
      <c r="M31" s="64" t="s">
        <v>43</v>
      </c>
      <c r="N31" s="63"/>
    </row>
    <row r="32" spans="1:14" ht="18.75">
      <c r="A32" s="61" t="s">
        <v>154</v>
      </c>
      <c r="B32" s="80" t="s">
        <v>5</v>
      </c>
      <c r="C32" s="66">
        <v>13</v>
      </c>
      <c r="D32" s="91" t="s">
        <v>19</v>
      </c>
      <c r="E32" s="66">
        <v>16</v>
      </c>
      <c r="F32" s="66">
        <v>13</v>
      </c>
      <c r="G32" s="66" t="s">
        <v>19</v>
      </c>
      <c r="H32" s="66">
        <v>32</v>
      </c>
      <c r="I32" s="66"/>
      <c r="J32" s="66"/>
      <c r="K32" s="66"/>
      <c r="L32" s="66"/>
      <c r="M32" s="66"/>
      <c r="N32" s="66"/>
    </row>
    <row r="33" spans="1:14" ht="18.75">
      <c r="A33" s="61" t="s">
        <v>154</v>
      </c>
      <c r="B33" s="80" t="s">
        <v>7</v>
      </c>
      <c r="C33" s="66">
        <v>25</v>
      </c>
      <c r="D33" s="91" t="s">
        <v>19</v>
      </c>
      <c r="E33" s="66">
        <v>34</v>
      </c>
      <c r="F33" s="66">
        <v>25</v>
      </c>
      <c r="G33" s="66" t="s">
        <v>19</v>
      </c>
      <c r="H33" s="66">
        <v>68</v>
      </c>
      <c r="I33" s="66"/>
      <c r="J33" s="66"/>
      <c r="K33" s="66"/>
      <c r="L33" s="66"/>
      <c r="M33" s="66"/>
      <c r="N33" s="66"/>
    </row>
    <row r="34" spans="1:14" ht="18.75">
      <c r="A34" s="61" t="s">
        <v>154</v>
      </c>
      <c r="B34" s="82" t="s">
        <v>0</v>
      </c>
      <c r="C34" s="68">
        <v>9999999</v>
      </c>
      <c r="D34" s="91" t="s">
        <v>19</v>
      </c>
      <c r="E34" s="68">
        <v>46</v>
      </c>
      <c r="F34" s="68">
        <v>9999999</v>
      </c>
      <c r="G34" s="66" t="s">
        <v>19</v>
      </c>
      <c r="H34" s="68">
        <v>92</v>
      </c>
      <c r="I34" s="68">
        <v>9999999</v>
      </c>
      <c r="J34" s="66" t="s">
        <v>19</v>
      </c>
      <c r="K34" s="68">
        <v>60</v>
      </c>
      <c r="L34" s="68">
        <v>9999999</v>
      </c>
      <c r="M34" s="66" t="s">
        <v>19</v>
      </c>
      <c r="N34" s="68">
        <v>60</v>
      </c>
    </row>
    <row r="35" spans="1:14" ht="18.75">
      <c r="A35" s="70" t="s">
        <v>157</v>
      </c>
      <c r="B35" s="71" t="s">
        <v>1</v>
      </c>
      <c r="C35" s="72">
        <v>7</v>
      </c>
      <c r="D35" s="73" t="s">
        <v>43</v>
      </c>
      <c r="E35" s="72"/>
      <c r="F35" s="72">
        <v>7</v>
      </c>
      <c r="G35" s="73" t="s">
        <v>43</v>
      </c>
      <c r="H35" s="72"/>
      <c r="I35" s="72">
        <v>2</v>
      </c>
      <c r="J35" s="73" t="s">
        <v>43</v>
      </c>
      <c r="K35" s="72"/>
      <c r="L35" s="72">
        <v>2</v>
      </c>
      <c r="M35" s="73" t="s">
        <v>43</v>
      </c>
      <c r="N35" s="72"/>
    </row>
    <row r="36" spans="1:14" ht="18.75">
      <c r="A36" s="70" t="s">
        <v>157</v>
      </c>
      <c r="B36" s="92" t="s">
        <v>5</v>
      </c>
      <c r="C36" s="76">
        <v>15</v>
      </c>
      <c r="D36" s="76" t="s">
        <v>19</v>
      </c>
      <c r="E36" s="76">
        <v>15</v>
      </c>
      <c r="F36" s="76">
        <v>15</v>
      </c>
      <c r="G36" s="76" t="s">
        <v>19</v>
      </c>
      <c r="H36" s="76">
        <v>30</v>
      </c>
      <c r="I36" s="76"/>
      <c r="J36" s="76"/>
      <c r="K36" s="76"/>
      <c r="L36" s="76"/>
      <c r="M36" s="76"/>
      <c r="N36" s="76"/>
    </row>
    <row r="37" spans="1:14" ht="18.75">
      <c r="A37" s="71" t="s">
        <v>157</v>
      </c>
      <c r="B37" s="92" t="s">
        <v>0</v>
      </c>
      <c r="C37" s="76">
        <v>9999999</v>
      </c>
      <c r="D37" s="76" t="s">
        <v>19</v>
      </c>
      <c r="E37" s="76">
        <v>21</v>
      </c>
      <c r="F37" s="76">
        <v>9999999</v>
      </c>
      <c r="G37" s="76" t="s">
        <v>19</v>
      </c>
      <c r="H37" s="76">
        <v>42</v>
      </c>
      <c r="I37" s="76">
        <v>9999999</v>
      </c>
      <c r="J37" s="76" t="s">
        <v>19</v>
      </c>
      <c r="K37" s="76">
        <v>60</v>
      </c>
      <c r="L37" s="76">
        <v>9999999</v>
      </c>
      <c r="M37" s="76" t="s">
        <v>19</v>
      </c>
      <c r="N37" s="76">
        <v>60</v>
      </c>
    </row>
    <row r="38" spans="1:14" ht="18.75">
      <c r="A38" s="61" t="s">
        <v>48</v>
      </c>
      <c r="B38" s="77" t="s">
        <v>1</v>
      </c>
      <c r="C38" s="63">
        <v>3</v>
      </c>
      <c r="D38" s="63" t="s">
        <v>43</v>
      </c>
      <c r="E38" s="63"/>
      <c r="F38" s="63">
        <v>3</v>
      </c>
      <c r="G38" s="63" t="s">
        <v>43</v>
      </c>
      <c r="H38" s="63"/>
      <c r="I38" s="63">
        <v>3</v>
      </c>
      <c r="J38" s="63" t="s">
        <v>43</v>
      </c>
      <c r="K38" s="78"/>
      <c r="L38" s="63">
        <v>3</v>
      </c>
      <c r="M38" s="78" t="s">
        <v>43</v>
      </c>
      <c r="N38" s="63"/>
    </row>
    <row r="39" spans="1:14" ht="18.75">
      <c r="A39" s="61" t="s">
        <v>48</v>
      </c>
      <c r="B39" s="82" t="s">
        <v>0</v>
      </c>
      <c r="C39" s="68">
        <v>9999999</v>
      </c>
      <c r="D39" s="68" t="s">
        <v>19</v>
      </c>
      <c r="E39" s="68">
        <v>57</v>
      </c>
      <c r="F39" s="68">
        <v>9999999</v>
      </c>
      <c r="G39" s="68" t="s">
        <v>19</v>
      </c>
      <c r="H39" s="68">
        <v>77</v>
      </c>
      <c r="I39" s="68">
        <v>9999999</v>
      </c>
      <c r="J39" s="68" t="s">
        <v>19</v>
      </c>
      <c r="K39" s="83">
        <v>155</v>
      </c>
      <c r="L39" s="68">
        <v>9999999</v>
      </c>
      <c r="M39" s="83" t="s">
        <v>19</v>
      </c>
      <c r="N39" s="68">
        <v>155</v>
      </c>
    </row>
    <row r="40" spans="1:14">
      <c r="A40"/>
      <c r="B40"/>
      <c r="C40"/>
      <c r="D40"/>
      <c r="E40"/>
      <c r="F40"/>
      <c r="G40"/>
      <c r="H40"/>
    </row>
    <row r="41" spans="1:14">
      <c r="A41"/>
      <c r="B41"/>
      <c r="C41"/>
      <c r="D41"/>
      <c r="E41"/>
      <c r="F41"/>
      <c r="G41"/>
      <c r="H41"/>
    </row>
    <row r="42" spans="1:14">
      <c r="A42"/>
      <c r="B42"/>
      <c r="C42"/>
      <c r="D42"/>
      <c r="E42"/>
      <c r="F42"/>
      <c r="G42"/>
      <c r="H42"/>
    </row>
    <row r="43" spans="1:14">
      <c r="A43"/>
      <c r="B43"/>
      <c r="C43"/>
      <c r="D43"/>
      <c r="E43"/>
      <c r="F43"/>
      <c r="G43"/>
      <c r="H43"/>
    </row>
    <row r="44" spans="1:14">
      <c r="A44"/>
      <c r="B44"/>
      <c r="C44"/>
      <c r="D44"/>
      <c r="E44"/>
      <c r="F44"/>
      <c r="G44"/>
      <c r="H44"/>
    </row>
    <row r="45" spans="1:14">
      <c r="A45"/>
      <c r="B45"/>
      <c r="C45"/>
      <c r="D45"/>
      <c r="E45"/>
      <c r="F45"/>
      <c r="G45"/>
      <c r="H45"/>
    </row>
    <row r="46" spans="1:14">
      <c r="A46"/>
      <c r="B46"/>
      <c r="C46"/>
      <c r="D46"/>
      <c r="E46"/>
      <c r="F46"/>
      <c r="G46"/>
      <c r="H46"/>
    </row>
    <row r="47" spans="1:14">
      <c r="A47"/>
      <c r="B47"/>
      <c r="C47"/>
      <c r="D47"/>
      <c r="E47"/>
      <c r="F47"/>
      <c r="G47"/>
      <c r="H47"/>
    </row>
    <row r="48" spans="1:14">
      <c r="A48"/>
      <c r="B48"/>
      <c r="C48"/>
      <c r="D48"/>
      <c r="E48"/>
      <c r="F48"/>
      <c r="G48"/>
      <c r="H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spans="1:8">
      <c r="A65"/>
      <c r="B65"/>
      <c r="C65"/>
      <c r="D65"/>
      <c r="E65"/>
      <c r="F65"/>
      <c r="G65"/>
      <c r="H65"/>
    </row>
    <row r="66" spans="1:8">
      <c r="A66"/>
      <c r="B66"/>
      <c r="C66"/>
      <c r="D66"/>
      <c r="E66"/>
      <c r="F66"/>
      <c r="G66"/>
      <c r="H66"/>
    </row>
    <row r="67" spans="1:8">
      <c r="A67"/>
      <c r="B67"/>
      <c r="C67"/>
      <c r="D67"/>
      <c r="E67"/>
      <c r="F67"/>
      <c r="G67"/>
      <c r="H67"/>
    </row>
    <row r="68" spans="1:8">
      <c r="A68"/>
      <c r="B68"/>
      <c r="C68"/>
      <c r="D68"/>
      <c r="E68"/>
      <c r="F68"/>
      <c r="G68"/>
      <c r="H68"/>
    </row>
    <row r="69" spans="1:8">
      <c r="A69"/>
      <c r="B69"/>
      <c r="C69"/>
      <c r="D69"/>
      <c r="E69"/>
      <c r="F69"/>
      <c r="G69"/>
      <c r="H69"/>
    </row>
    <row r="70" spans="1:8">
      <c r="A70"/>
      <c r="B70"/>
      <c r="C70"/>
      <c r="D70"/>
      <c r="E70"/>
      <c r="F70"/>
      <c r="G70"/>
      <c r="H70"/>
    </row>
    <row r="71" spans="1:8">
      <c r="A71"/>
      <c r="B71"/>
      <c r="C71"/>
      <c r="D71"/>
      <c r="E71"/>
      <c r="F71"/>
      <c r="G71"/>
      <c r="H71"/>
    </row>
    <row r="72" spans="1:8">
      <c r="A72"/>
      <c r="B72"/>
      <c r="C72"/>
      <c r="D72"/>
      <c r="E72"/>
      <c r="F72"/>
      <c r="G72"/>
      <c r="H72"/>
    </row>
    <row r="73" spans="1:8">
      <c r="A73"/>
      <c r="B73"/>
      <c r="C73"/>
      <c r="D73"/>
      <c r="E73"/>
      <c r="F73"/>
      <c r="G73"/>
      <c r="H73"/>
    </row>
    <row r="74" spans="1:8">
      <c r="A74"/>
      <c r="B74"/>
      <c r="C74"/>
      <c r="D74"/>
      <c r="E74"/>
      <c r="F74"/>
      <c r="G74"/>
      <c r="H74"/>
    </row>
    <row r="75" spans="1:8">
      <c r="A75"/>
      <c r="B75"/>
      <c r="C75"/>
      <c r="D75"/>
      <c r="E75"/>
      <c r="F75"/>
      <c r="G75"/>
      <c r="H75"/>
    </row>
    <row r="76" spans="1:8">
      <c r="C76"/>
      <c r="D76"/>
      <c r="E76"/>
      <c r="F76"/>
      <c r="G76"/>
      <c r="H76"/>
    </row>
    <row r="77" spans="1:8">
      <c r="C77"/>
      <c r="D77"/>
      <c r="E77"/>
      <c r="F77"/>
      <c r="G77"/>
      <c r="H77"/>
    </row>
    <row r="78" spans="1:8">
      <c r="C78"/>
      <c r="D78"/>
      <c r="E78"/>
      <c r="F78"/>
      <c r="G78"/>
      <c r="H78"/>
    </row>
    <row r="79" spans="1:8">
      <c r="C79"/>
      <c r="D79"/>
      <c r="E79"/>
      <c r="F79"/>
      <c r="G79"/>
      <c r="H79"/>
    </row>
    <row r="80" spans="1:8">
      <c r="C80"/>
      <c r="D80"/>
      <c r="E80"/>
      <c r="F80"/>
      <c r="G80"/>
      <c r="H80"/>
    </row>
    <row r="81" spans="3:8">
      <c r="C81"/>
      <c r="D81"/>
      <c r="E81"/>
      <c r="F81"/>
      <c r="G81"/>
      <c r="H81"/>
    </row>
    <row r="82" spans="3:8">
      <c r="C82"/>
      <c r="D82"/>
      <c r="E82"/>
      <c r="F82"/>
      <c r="G82"/>
      <c r="H82"/>
    </row>
    <row r="83" spans="3:8">
      <c r="C83"/>
      <c r="D83"/>
      <c r="E83"/>
      <c r="F83"/>
      <c r="G83"/>
      <c r="H83"/>
    </row>
    <row r="84" spans="3:8">
      <c r="C84"/>
      <c r="D84"/>
      <c r="E84"/>
      <c r="F84"/>
      <c r="G84"/>
      <c r="H84"/>
    </row>
    <row r="85" spans="3:8">
      <c r="C85"/>
      <c r="D85"/>
      <c r="E85"/>
      <c r="F85"/>
      <c r="G85"/>
      <c r="H85"/>
    </row>
    <row r="86" spans="3:8">
      <c r="C86"/>
      <c r="D86"/>
      <c r="E86"/>
      <c r="F86"/>
      <c r="G86"/>
      <c r="H86"/>
    </row>
    <row r="87" spans="3:8">
      <c r="C87"/>
      <c r="D87"/>
      <c r="E87"/>
      <c r="F87"/>
      <c r="G87"/>
      <c r="H87"/>
    </row>
    <row r="88" spans="3:8">
      <c r="C88"/>
      <c r="D88"/>
      <c r="E88"/>
      <c r="F88"/>
      <c r="G88"/>
      <c r="H88"/>
    </row>
    <row r="89" spans="3:8">
      <c r="C89"/>
      <c r="D89"/>
      <c r="E89"/>
      <c r="F89"/>
      <c r="G89"/>
      <c r="H89"/>
    </row>
    <row r="90" spans="3:8">
      <c r="C90"/>
      <c r="D90"/>
      <c r="E90"/>
      <c r="F90"/>
      <c r="G90"/>
      <c r="H90"/>
    </row>
    <row r="91" spans="3:8">
      <c r="C91"/>
      <c r="D91"/>
      <c r="E91"/>
      <c r="F91"/>
      <c r="G91"/>
      <c r="H91"/>
    </row>
    <row r="92" spans="3:8">
      <c r="C92"/>
      <c r="D92"/>
      <c r="E92"/>
      <c r="F92"/>
      <c r="G92"/>
      <c r="H92"/>
    </row>
    <row r="93" spans="3:8">
      <c r="C93"/>
      <c r="D93"/>
      <c r="E93"/>
      <c r="F93"/>
      <c r="G93"/>
      <c r="H93"/>
    </row>
    <row r="94" spans="3:8">
      <c r="C94"/>
      <c r="D94"/>
      <c r="E94"/>
      <c r="F94"/>
      <c r="G94"/>
      <c r="H94"/>
    </row>
    <row r="95" spans="3:8">
      <c r="C95"/>
      <c r="D95"/>
      <c r="E95"/>
      <c r="F95"/>
      <c r="G95"/>
      <c r="H95"/>
    </row>
    <row r="96" spans="3:8">
      <c r="C96"/>
      <c r="D96"/>
      <c r="E96"/>
      <c r="F96"/>
      <c r="G96"/>
      <c r="H96"/>
    </row>
    <row r="97" spans="3:8">
      <c r="C97"/>
      <c r="D97"/>
      <c r="E97"/>
      <c r="F97"/>
      <c r="G97"/>
      <c r="H97"/>
    </row>
    <row r="98" spans="3:8">
      <c r="C98"/>
      <c r="D98"/>
      <c r="E98"/>
      <c r="F98"/>
      <c r="G98"/>
      <c r="H98"/>
    </row>
    <row r="99" spans="3:8">
      <c r="C99"/>
      <c r="D99"/>
      <c r="E99"/>
      <c r="F99"/>
      <c r="G99"/>
      <c r="H99"/>
    </row>
    <row r="100" spans="3:8">
      <c r="C100"/>
      <c r="D100"/>
      <c r="E100"/>
      <c r="F100"/>
      <c r="G100"/>
      <c r="H100"/>
    </row>
    <row r="101" spans="3:8">
      <c r="C101"/>
      <c r="D101"/>
      <c r="E101"/>
      <c r="F101"/>
      <c r="G101"/>
      <c r="H101"/>
    </row>
    <row r="102" spans="3:8">
      <c r="C102"/>
      <c r="D102"/>
      <c r="E102"/>
      <c r="F102"/>
      <c r="G102"/>
      <c r="H102"/>
    </row>
    <row r="103" spans="3:8">
      <c r="C103"/>
      <c r="D103"/>
      <c r="E103"/>
      <c r="F103"/>
      <c r="G103"/>
      <c r="H103"/>
    </row>
    <row r="104" spans="3:8">
      <c r="C104"/>
      <c r="D104"/>
      <c r="E104"/>
      <c r="F104"/>
      <c r="G104"/>
      <c r="H104"/>
    </row>
    <row r="105" spans="3:8">
      <c r="C105"/>
      <c r="D105"/>
      <c r="E105"/>
      <c r="F105"/>
      <c r="G105"/>
      <c r="H105"/>
    </row>
    <row r="106" spans="3:8">
      <c r="C106"/>
      <c r="D106"/>
      <c r="E106"/>
      <c r="F106"/>
      <c r="G106"/>
      <c r="H106"/>
    </row>
    <row r="107" spans="3:8">
      <c r="C107"/>
      <c r="D107"/>
      <c r="E107"/>
      <c r="F107"/>
      <c r="G107"/>
      <c r="H107"/>
    </row>
    <row r="108" spans="3:8">
      <c r="C108"/>
      <c r="D108"/>
      <c r="E108"/>
      <c r="F108"/>
      <c r="G108"/>
      <c r="H108"/>
    </row>
    <row r="109" spans="3:8">
      <c r="C109"/>
      <c r="D109"/>
      <c r="E109"/>
      <c r="F109"/>
      <c r="G109"/>
      <c r="H109"/>
    </row>
    <row r="110" spans="3:8">
      <c r="C110"/>
      <c r="D110"/>
      <c r="E110"/>
      <c r="F110"/>
      <c r="G110"/>
      <c r="H110"/>
    </row>
  </sheetData>
  <sheetProtection algorithmName="SHA-512" hashValue="rN41cjbA9pkNfr5zxkJ8z1T970b5shOAwqf7DsY3yAC1EsGxDICqFbCg+uZ+GCA3XTJY0VO3O8wdPGXKESRSWQ==" saltValue="mioncOsXlm3fBs89oZ6QCQ==" spinCount="100000" sheet="1" formatCells="0" formatColumns="0" formatRows="0" insertColumns="0" insertRows="0" insertHyperlinks="0" deleteColumns="0" deleteRows="0" sort="0" autoFilter="0" pivotTables="0"/>
  <autoFilter ref="A2:N39" xr:uid="{65B5AA6E-C40C-4383-9FCF-DD841C61B0C7}"/>
  <conditionalFormatting sqref="C76:H1048576">
    <cfRule type="expression" dxfId="7" priority="5">
      <formula>C76=9999999</formula>
    </cfRule>
  </conditionalFormatting>
  <conditionalFormatting sqref="C1:N39">
    <cfRule type="expression" dxfId="6" priority="1">
      <formula>C1=9999999</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81642-F3FC-4340-8E0A-7748A1A818E8}">
  <sheetPr codeName="Sheet11"/>
  <dimension ref="A1:T117"/>
  <sheetViews>
    <sheetView workbookViewId="0">
      <pane xSplit="2" ySplit="2" topLeftCell="C3" activePane="bottomRight" state="frozen"/>
      <selection activeCell="J11" sqref="J11"/>
      <selection pane="topRight" activeCell="J11" sqref="J11"/>
      <selection pane="bottomLeft" activeCell="J11" sqref="J11"/>
      <selection pane="bottomRight" activeCell="O18" sqref="O18"/>
    </sheetView>
  </sheetViews>
  <sheetFormatPr defaultColWidth="9.140625" defaultRowHeight="15"/>
  <cols>
    <col min="1" max="1" width="26.7109375" style="69" bestFit="1" customWidth="1"/>
    <col min="2" max="2" width="13.7109375" style="69" bestFit="1" customWidth="1"/>
    <col min="3" max="3" width="9.140625" style="69"/>
    <col min="4" max="4" width="14.140625" style="69" customWidth="1"/>
    <col min="5" max="6" width="9.140625" style="69"/>
    <col min="7" max="7" width="14.140625" style="69" customWidth="1"/>
    <col min="8" max="9" width="9.140625" style="69"/>
    <col min="10" max="10" width="14.140625" style="69" customWidth="1"/>
    <col min="11" max="12" width="9.140625" style="69"/>
    <col min="13" max="13" width="14.140625" style="69" customWidth="1"/>
    <col min="14" max="14" width="9.140625" style="69"/>
    <col min="16" max="16" width="14.140625" customWidth="1"/>
    <col min="19" max="19" width="14.140625" customWidth="1"/>
  </cols>
  <sheetData>
    <row r="1" spans="1:20" ht="18.75">
      <c r="A1" s="56"/>
      <c r="B1" s="56"/>
      <c r="C1" s="57" t="s">
        <v>8</v>
      </c>
      <c r="D1" s="58" t="s">
        <v>8</v>
      </c>
      <c r="E1" s="59" t="s">
        <v>8</v>
      </c>
      <c r="F1" s="57" t="s">
        <v>55</v>
      </c>
      <c r="G1" s="58" t="s">
        <v>55</v>
      </c>
      <c r="H1" s="59" t="s">
        <v>55</v>
      </c>
      <c r="I1" s="57" t="s">
        <v>9</v>
      </c>
      <c r="J1" s="58" t="s">
        <v>9</v>
      </c>
      <c r="K1" s="59" t="s">
        <v>9</v>
      </c>
      <c r="L1" s="57" t="s">
        <v>231</v>
      </c>
      <c r="M1" s="58" t="s">
        <v>231</v>
      </c>
      <c r="N1" s="59" t="s">
        <v>231</v>
      </c>
      <c r="O1" s="57" t="s">
        <v>10</v>
      </c>
      <c r="P1" s="58" t="s">
        <v>10</v>
      </c>
      <c r="Q1" s="59" t="s">
        <v>10</v>
      </c>
      <c r="R1" s="57" t="s">
        <v>57</v>
      </c>
      <c r="S1" s="58" t="s">
        <v>57</v>
      </c>
      <c r="T1" s="59" t="s">
        <v>57</v>
      </c>
    </row>
    <row r="2" spans="1:20" ht="18.75">
      <c r="A2" s="56" t="s">
        <v>180</v>
      </c>
      <c r="B2" s="56" t="s">
        <v>11</v>
      </c>
      <c r="C2" s="60" t="s">
        <v>2</v>
      </c>
      <c r="D2" s="60" t="s">
        <v>3</v>
      </c>
      <c r="E2" s="60" t="s">
        <v>4</v>
      </c>
      <c r="F2" s="60" t="s">
        <v>2</v>
      </c>
      <c r="G2" s="60" t="s">
        <v>3</v>
      </c>
      <c r="H2" s="60" t="s">
        <v>4</v>
      </c>
      <c r="I2" s="60" t="s">
        <v>2</v>
      </c>
      <c r="J2" s="60" t="s">
        <v>3</v>
      </c>
      <c r="K2" s="60" t="s">
        <v>4</v>
      </c>
      <c r="L2" s="60" t="s">
        <v>2</v>
      </c>
      <c r="M2" s="60" t="s">
        <v>3</v>
      </c>
      <c r="N2" s="60" t="s">
        <v>4</v>
      </c>
      <c r="O2" s="60" t="s">
        <v>2</v>
      </c>
      <c r="P2" s="60" t="s">
        <v>3</v>
      </c>
      <c r="Q2" s="60" t="s">
        <v>4</v>
      </c>
      <c r="R2" s="60" t="s">
        <v>2</v>
      </c>
      <c r="S2" s="60" t="s">
        <v>3</v>
      </c>
      <c r="T2" s="60" t="s">
        <v>4</v>
      </c>
    </row>
    <row r="3" spans="1:20" ht="18.75">
      <c r="A3" s="61" t="s">
        <v>213</v>
      </c>
      <c r="B3" s="62" t="s">
        <v>1</v>
      </c>
      <c r="C3" s="63">
        <v>7</v>
      </c>
      <c r="D3" s="64" t="s">
        <v>43</v>
      </c>
      <c r="E3" s="63"/>
      <c r="F3" s="63">
        <v>7</v>
      </c>
      <c r="G3" s="64" t="s">
        <v>43</v>
      </c>
      <c r="H3" s="63"/>
      <c r="I3" s="63">
        <v>7</v>
      </c>
      <c r="J3" s="64" t="s">
        <v>43</v>
      </c>
      <c r="K3" s="63"/>
      <c r="L3" s="63">
        <v>7</v>
      </c>
      <c r="M3" s="64" t="s">
        <v>43</v>
      </c>
      <c r="N3" s="63"/>
      <c r="O3" s="63">
        <v>0</v>
      </c>
      <c r="P3" s="64" t="s">
        <v>43</v>
      </c>
      <c r="Q3" s="63"/>
      <c r="R3" s="63">
        <v>0</v>
      </c>
      <c r="S3" s="64" t="s">
        <v>43</v>
      </c>
      <c r="T3" s="63"/>
    </row>
    <row r="4" spans="1:20" ht="18.75">
      <c r="A4" s="61" t="s">
        <v>213</v>
      </c>
      <c r="B4" s="67" t="s">
        <v>0</v>
      </c>
      <c r="C4" s="68">
        <v>9999999</v>
      </c>
      <c r="D4" s="66" t="s">
        <v>19</v>
      </c>
      <c r="E4" s="68">
        <v>21</v>
      </c>
      <c r="F4" s="68">
        <v>9999999</v>
      </c>
      <c r="G4" s="66" t="s">
        <v>19</v>
      </c>
      <c r="H4" s="68">
        <v>42</v>
      </c>
      <c r="I4" s="68">
        <v>9999999</v>
      </c>
      <c r="J4" s="66" t="s">
        <v>19</v>
      </c>
      <c r="K4" s="68">
        <v>21</v>
      </c>
      <c r="L4" s="68">
        <v>9999999</v>
      </c>
      <c r="M4" s="66" t="s">
        <v>19</v>
      </c>
      <c r="N4" s="68">
        <v>42</v>
      </c>
      <c r="O4" s="68">
        <v>9999999</v>
      </c>
      <c r="P4" s="66" t="s">
        <v>19</v>
      </c>
      <c r="Q4" s="68">
        <v>60</v>
      </c>
      <c r="R4" s="68">
        <v>9999999</v>
      </c>
      <c r="S4" s="66" t="s">
        <v>19</v>
      </c>
      <c r="T4" s="68">
        <v>60</v>
      </c>
    </row>
    <row r="5" spans="1:20" s="69" customFormat="1" ht="18.75">
      <c r="A5" s="70" t="s">
        <v>181</v>
      </c>
      <c r="B5" s="71" t="s">
        <v>1</v>
      </c>
      <c r="C5" s="72">
        <v>4</v>
      </c>
      <c r="D5" s="73" t="s">
        <v>43</v>
      </c>
      <c r="E5" s="72"/>
      <c r="F5" s="72">
        <v>4</v>
      </c>
      <c r="G5" s="73" t="s">
        <v>43</v>
      </c>
      <c r="H5" s="72"/>
      <c r="I5" s="72">
        <v>4</v>
      </c>
      <c r="J5" s="73" t="s">
        <v>43</v>
      </c>
      <c r="K5" s="72"/>
      <c r="L5" s="72">
        <v>4</v>
      </c>
      <c r="M5" s="73" t="s">
        <v>43</v>
      </c>
      <c r="N5" s="72"/>
      <c r="O5" s="72">
        <v>4</v>
      </c>
      <c r="P5" s="73" t="s">
        <v>43</v>
      </c>
      <c r="Q5" s="72"/>
      <c r="R5" s="72">
        <v>4</v>
      </c>
      <c r="S5" s="73" t="s">
        <v>43</v>
      </c>
      <c r="T5" s="72"/>
    </row>
    <row r="6" spans="1:20" s="69" customFormat="1" ht="18.75">
      <c r="A6" s="70" t="s">
        <v>181</v>
      </c>
      <c r="B6" s="92" t="s">
        <v>5</v>
      </c>
      <c r="C6" s="76">
        <v>3</v>
      </c>
      <c r="D6" s="76" t="s">
        <v>19</v>
      </c>
      <c r="E6" s="76">
        <v>4</v>
      </c>
      <c r="F6" s="76">
        <v>3</v>
      </c>
      <c r="G6" s="76" t="s">
        <v>19</v>
      </c>
      <c r="H6" s="76">
        <v>8</v>
      </c>
      <c r="I6" s="76">
        <v>3</v>
      </c>
      <c r="J6" s="76" t="s">
        <v>19</v>
      </c>
      <c r="K6" s="76">
        <v>4</v>
      </c>
      <c r="L6" s="76">
        <v>3</v>
      </c>
      <c r="M6" s="76" t="s">
        <v>19</v>
      </c>
      <c r="N6" s="76">
        <v>8</v>
      </c>
      <c r="O6" s="76">
        <v>3</v>
      </c>
      <c r="P6" s="76" t="s">
        <v>19</v>
      </c>
      <c r="Q6" s="76">
        <v>4</v>
      </c>
      <c r="R6" s="76">
        <v>3</v>
      </c>
      <c r="S6" s="76" t="s">
        <v>19</v>
      </c>
      <c r="T6" s="76">
        <v>8</v>
      </c>
    </row>
    <row r="7" spans="1:20" s="69" customFormat="1" ht="18.75">
      <c r="A7" s="70" t="s">
        <v>181</v>
      </c>
      <c r="B7" s="92" t="s">
        <v>7</v>
      </c>
      <c r="C7" s="76">
        <v>7</v>
      </c>
      <c r="D7" s="76" t="s">
        <v>19</v>
      </c>
      <c r="E7" s="76">
        <v>8</v>
      </c>
      <c r="F7" s="76">
        <v>7</v>
      </c>
      <c r="G7" s="76" t="s">
        <v>19</v>
      </c>
      <c r="H7" s="76">
        <v>16</v>
      </c>
      <c r="I7" s="76">
        <v>7</v>
      </c>
      <c r="J7" s="76" t="s">
        <v>19</v>
      </c>
      <c r="K7" s="76">
        <v>8</v>
      </c>
      <c r="L7" s="76">
        <v>7</v>
      </c>
      <c r="M7" s="76" t="s">
        <v>19</v>
      </c>
      <c r="N7" s="76">
        <v>16</v>
      </c>
      <c r="O7" s="76">
        <v>7</v>
      </c>
      <c r="P7" s="76" t="s">
        <v>19</v>
      </c>
      <c r="Q7" s="76">
        <v>8</v>
      </c>
      <c r="R7" s="76">
        <v>7</v>
      </c>
      <c r="S7" s="76" t="s">
        <v>19</v>
      </c>
      <c r="T7" s="76">
        <v>16</v>
      </c>
    </row>
    <row r="8" spans="1:20" ht="18.75">
      <c r="A8" s="70" t="s">
        <v>181</v>
      </c>
      <c r="B8" s="74" t="s">
        <v>0</v>
      </c>
      <c r="C8" s="68">
        <v>9999999</v>
      </c>
      <c r="D8" s="76" t="s">
        <v>19</v>
      </c>
      <c r="E8" s="75">
        <v>11</v>
      </c>
      <c r="F8" s="68">
        <v>9999999</v>
      </c>
      <c r="G8" s="76" t="s">
        <v>19</v>
      </c>
      <c r="H8" s="75">
        <v>22</v>
      </c>
      <c r="I8" s="68">
        <v>9999999</v>
      </c>
      <c r="J8" s="76" t="s">
        <v>19</v>
      </c>
      <c r="K8" s="75">
        <v>11</v>
      </c>
      <c r="L8" s="68">
        <v>9999999</v>
      </c>
      <c r="M8" s="76" t="s">
        <v>19</v>
      </c>
      <c r="N8" s="75">
        <v>22</v>
      </c>
      <c r="O8" s="68">
        <v>9999999</v>
      </c>
      <c r="P8" s="76" t="s">
        <v>19</v>
      </c>
      <c r="Q8" s="75">
        <v>11</v>
      </c>
      <c r="R8" s="68">
        <v>9999999</v>
      </c>
      <c r="S8" s="76" t="s">
        <v>19</v>
      </c>
      <c r="T8" s="75">
        <v>22</v>
      </c>
    </row>
    <row r="9" spans="1:20" ht="18.75">
      <c r="A9" s="61" t="s">
        <v>185</v>
      </c>
      <c r="B9" s="62" t="s">
        <v>1</v>
      </c>
      <c r="C9" s="63">
        <v>5</v>
      </c>
      <c r="D9" s="64" t="s">
        <v>43</v>
      </c>
      <c r="E9" s="63"/>
      <c r="F9" s="63">
        <v>5</v>
      </c>
      <c r="G9" s="64" t="s">
        <v>43</v>
      </c>
      <c r="H9" s="63"/>
      <c r="I9" s="63">
        <v>5</v>
      </c>
      <c r="J9" s="64" t="s">
        <v>43</v>
      </c>
      <c r="K9" s="63"/>
      <c r="L9" s="63">
        <v>5</v>
      </c>
      <c r="M9" s="64" t="s">
        <v>43</v>
      </c>
      <c r="N9" s="63"/>
      <c r="O9" s="63">
        <v>5</v>
      </c>
      <c r="P9" s="64" t="s">
        <v>43</v>
      </c>
      <c r="Q9" s="63"/>
      <c r="R9" s="63">
        <v>5</v>
      </c>
      <c r="S9" s="64" t="s">
        <v>43</v>
      </c>
      <c r="T9" s="63"/>
    </row>
    <row r="10" spans="1:20" ht="18.75">
      <c r="A10" s="61" t="s">
        <v>185</v>
      </c>
      <c r="B10" s="65" t="s">
        <v>5</v>
      </c>
      <c r="C10" s="66">
        <v>2</v>
      </c>
      <c r="D10" s="66" t="s">
        <v>19</v>
      </c>
      <c r="E10" s="66">
        <v>2</v>
      </c>
      <c r="F10" s="66">
        <v>2</v>
      </c>
      <c r="G10" s="66" t="s">
        <v>19</v>
      </c>
      <c r="H10" s="66">
        <v>4</v>
      </c>
      <c r="I10" s="66">
        <v>2</v>
      </c>
      <c r="J10" s="66" t="s">
        <v>19</v>
      </c>
      <c r="K10" s="66">
        <v>2</v>
      </c>
      <c r="L10" s="66">
        <v>2</v>
      </c>
      <c r="M10" s="66" t="s">
        <v>19</v>
      </c>
      <c r="N10" s="66">
        <v>4</v>
      </c>
      <c r="O10" s="66">
        <v>2</v>
      </c>
      <c r="P10" s="66" t="s">
        <v>19</v>
      </c>
      <c r="Q10" s="66">
        <v>2</v>
      </c>
      <c r="R10" s="66">
        <v>2</v>
      </c>
      <c r="S10" s="66" t="s">
        <v>19</v>
      </c>
      <c r="T10" s="66">
        <v>4</v>
      </c>
    </row>
    <row r="11" spans="1:20" ht="18.75">
      <c r="A11" s="61" t="s">
        <v>185</v>
      </c>
      <c r="B11" s="65" t="s">
        <v>7</v>
      </c>
      <c r="C11" s="66">
        <v>7</v>
      </c>
      <c r="D11" s="66" t="s">
        <v>19</v>
      </c>
      <c r="E11" s="66">
        <v>5</v>
      </c>
      <c r="F11" s="66">
        <v>7</v>
      </c>
      <c r="G11" s="66" t="s">
        <v>19</v>
      </c>
      <c r="H11" s="66">
        <v>10</v>
      </c>
      <c r="I11" s="66">
        <v>7</v>
      </c>
      <c r="J11" s="66" t="s">
        <v>19</v>
      </c>
      <c r="K11" s="66">
        <v>5</v>
      </c>
      <c r="L11" s="66">
        <v>7</v>
      </c>
      <c r="M11" s="66" t="s">
        <v>19</v>
      </c>
      <c r="N11" s="66">
        <v>10</v>
      </c>
      <c r="O11" s="66">
        <v>7</v>
      </c>
      <c r="P11" s="66" t="s">
        <v>19</v>
      </c>
      <c r="Q11" s="66">
        <v>5</v>
      </c>
      <c r="R11" s="66">
        <v>7</v>
      </c>
      <c r="S11" s="66" t="s">
        <v>19</v>
      </c>
      <c r="T11" s="66">
        <v>10</v>
      </c>
    </row>
    <row r="12" spans="1:20" ht="18.75">
      <c r="A12" s="61" t="s">
        <v>185</v>
      </c>
      <c r="B12" s="67" t="s">
        <v>0</v>
      </c>
      <c r="C12" s="68">
        <v>9999999</v>
      </c>
      <c r="D12" s="66" t="s">
        <v>19</v>
      </c>
      <c r="E12" s="68">
        <v>40</v>
      </c>
      <c r="F12" s="68">
        <v>9999999</v>
      </c>
      <c r="G12" s="66" t="s">
        <v>19</v>
      </c>
      <c r="H12" s="68">
        <v>80</v>
      </c>
      <c r="I12" s="68">
        <v>9999999</v>
      </c>
      <c r="J12" s="66" t="s">
        <v>19</v>
      </c>
      <c r="K12" s="68">
        <v>40</v>
      </c>
      <c r="L12" s="68">
        <v>9999999</v>
      </c>
      <c r="M12" s="66" t="s">
        <v>19</v>
      </c>
      <c r="N12" s="68">
        <v>80</v>
      </c>
      <c r="O12" s="68">
        <v>9999999</v>
      </c>
      <c r="P12" s="66" t="s">
        <v>19</v>
      </c>
      <c r="Q12" s="68">
        <v>40</v>
      </c>
      <c r="R12" s="68">
        <v>9999999</v>
      </c>
      <c r="S12" s="66" t="s">
        <v>19</v>
      </c>
      <c r="T12" s="68">
        <v>80</v>
      </c>
    </row>
    <row r="13" spans="1:20" ht="18.75">
      <c r="A13" s="70" t="s">
        <v>187</v>
      </c>
      <c r="B13" s="71" t="s">
        <v>1</v>
      </c>
      <c r="C13" s="72">
        <v>5</v>
      </c>
      <c r="D13" s="73" t="s">
        <v>43</v>
      </c>
      <c r="E13" s="72"/>
      <c r="F13" s="72">
        <v>5</v>
      </c>
      <c r="G13" s="73" t="s">
        <v>43</v>
      </c>
      <c r="H13" s="72"/>
      <c r="I13" s="72">
        <v>5</v>
      </c>
      <c r="J13" s="73" t="s">
        <v>43</v>
      </c>
      <c r="K13" s="72"/>
      <c r="L13" s="72">
        <v>5</v>
      </c>
      <c r="M13" s="73" t="s">
        <v>43</v>
      </c>
      <c r="N13" s="72"/>
      <c r="O13" s="72">
        <v>5</v>
      </c>
      <c r="P13" s="73" t="s">
        <v>43</v>
      </c>
      <c r="Q13" s="72"/>
      <c r="R13" s="72">
        <v>5</v>
      </c>
      <c r="S13" s="73" t="s">
        <v>43</v>
      </c>
      <c r="T13" s="72"/>
    </row>
    <row r="14" spans="1:20" ht="18.75">
      <c r="A14" s="70" t="s">
        <v>187</v>
      </c>
      <c r="B14" s="74" t="s">
        <v>0</v>
      </c>
      <c r="C14" s="68">
        <v>9999999</v>
      </c>
      <c r="D14" s="76" t="s">
        <v>19</v>
      </c>
      <c r="E14" s="75">
        <v>3.75</v>
      </c>
      <c r="F14" s="68">
        <v>9999999</v>
      </c>
      <c r="G14" s="76" t="s">
        <v>19</v>
      </c>
      <c r="H14" s="75">
        <v>7.5</v>
      </c>
      <c r="I14" s="68">
        <v>9999999</v>
      </c>
      <c r="J14" s="76" t="s">
        <v>19</v>
      </c>
      <c r="K14" s="75">
        <v>3.75</v>
      </c>
      <c r="L14" s="68">
        <v>9999999</v>
      </c>
      <c r="M14" s="76" t="s">
        <v>19</v>
      </c>
      <c r="N14" s="75">
        <v>7.5</v>
      </c>
      <c r="O14" s="68">
        <v>9999999</v>
      </c>
      <c r="P14" s="76" t="s">
        <v>19</v>
      </c>
      <c r="Q14" s="75">
        <v>3.75</v>
      </c>
      <c r="R14" s="68">
        <v>9999999</v>
      </c>
      <c r="S14" s="76" t="s">
        <v>19</v>
      </c>
      <c r="T14" s="75">
        <v>7.5</v>
      </c>
    </row>
    <row r="15" spans="1:20" ht="18.75">
      <c r="A15" s="61" t="s">
        <v>204</v>
      </c>
      <c r="B15" s="62" t="s">
        <v>1</v>
      </c>
      <c r="C15" s="63">
        <v>5</v>
      </c>
      <c r="D15" s="64" t="s">
        <v>43</v>
      </c>
      <c r="E15" s="63"/>
      <c r="F15" s="63">
        <v>5</v>
      </c>
      <c r="G15" s="64" t="s">
        <v>43</v>
      </c>
      <c r="H15" s="63"/>
      <c r="I15" s="63">
        <v>5</v>
      </c>
      <c r="J15" s="64" t="s">
        <v>43</v>
      </c>
      <c r="K15" s="63"/>
      <c r="L15" s="63">
        <v>5</v>
      </c>
      <c r="M15" s="64" t="s">
        <v>43</v>
      </c>
      <c r="N15" s="63"/>
      <c r="O15" s="63">
        <v>5</v>
      </c>
      <c r="P15" s="64" t="s">
        <v>43</v>
      </c>
      <c r="Q15" s="63"/>
      <c r="R15" s="63">
        <v>5</v>
      </c>
      <c r="S15" s="64" t="s">
        <v>43</v>
      </c>
      <c r="T15" s="63"/>
    </row>
    <row r="16" spans="1:20" ht="18.75">
      <c r="A16" s="61" t="s">
        <v>204</v>
      </c>
      <c r="B16" s="65" t="s">
        <v>5</v>
      </c>
      <c r="C16" s="66">
        <v>33</v>
      </c>
      <c r="D16" s="66" t="s">
        <v>19</v>
      </c>
      <c r="E16" s="66">
        <v>2.5</v>
      </c>
      <c r="F16" s="66">
        <v>33</v>
      </c>
      <c r="G16" s="66" t="s">
        <v>19</v>
      </c>
      <c r="H16" s="66">
        <v>5</v>
      </c>
      <c r="I16" s="66">
        <v>33</v>
      </c>
      <c r="J16" s="66" t="s">
        <v>19</v>
      </c>
      <c r="K16" s="66">
        <v>2.5</v>
      </c>
      <c r="L16" s="66">
        <v>33</v>
      </c>
      <c r="M16" s="66" t="s">
        <v>19</v>
      </c>
      <c r="N16" s="66">
        <v>5</v>
      </c>
      <c r="O16" s="66">
        <v>33</v>
      </c>
      <c r="P16" s="66" t="s">
        <v>19</v>
      </c>
      <c r="Q16" s="66">
        <v>2.5</v>
      </c>
      <c r="R16" s="66">
        <v>33</v>
      </c>
      <c r="S16" s="66" t="s">
        <v>19</v>
      </c>
      <c r="T16" s="66">
        <v>5</v>
      </c>
    </row>
    <row r="17" spans="1:20" ht="18.75">
      <c r="A17" s="61" t="s">
        <v>204</v>
      </c>
      <c r="B17" s="65" t="s">
        <v>0</v>
      </c>
      <c r="C17" s="68">
        <v>9999999</v>
      </c>
      <c r="D17" s="66" t="s">
        <v>19</v>
      </c>
      <c r="E17" s="66">
        <v>10</v>
      </c>
      <c r="F17" s="68">
        <v>9999999</v>
      </c>
      <c r="G17" s="66" t="s">
        <v>19</v>
      </c>
      <c r="H17" s="66">
        <v>20</v>
      </c>
      <c r="I17" s="68">
        <v>9999999</v>
      </c>
      <c r="J17" s="66" t="s">
        <v>19</v>
      </c>
      <c r="K17" s="66">
        <v>10</v>
      </c>
      <c r="L17" s="68">
        <v>9999999</v>
      </c>
      <c r="M17" s="66" t="s">
        <v>19</v>
      </c>
      <c r="N17" s="66">
        <v>20</v>
      </c>
      <c r="O17" s="68">
        <v>9999999</v>
      </c>
      <c r="P17" s="66" t="s">
        <v>19</v>
      </c>
      <c r="Q17" s="66">
        <v>10</v>
      </c>
      <c r="R17" s="68">
        <v>9999999</v>
      </c>
      <c r="S17" s="66" t="s">
        <v>19</v>
      </c>
      <c r="T17" s="66">
        <v>20</v>
      </c>
    </row>
    <row r="18" spans="1:20" ht="18.75">
      <c r="A18" s="70" t="s">
        <v>206</v>
      </c>
      <c r="B18" s="71" t="s">
        <v>1</v>
      </c>
      <c r="C18" s="72">
        <v>3</v>
      </c>
      <c r="D18" s="73" t="s">
        <v>43</v>
      </c>
      <c r="E18" s="72"/>
      <c r="F18" s="72">
        <v>3</v>
      </c>
      <c r="G18" s="73" t="s">
        <v>43</v>
      </c>
      <c r="H18" s="72"/>
      <c r="I18" s="72">
        <v>3</v>
      </c>
      <c r="J18" s="73" t="s">
        <v>43</v>
      </c>
      <c r="K18" s="72"/>
      <c r="L18" s="72">
        <v>3</v>
      </c>
      <c r="M18" s="73" t="s">
        <v>43</v>
      </c>
      <c r="N18" s="72"/>
      <c r="O18" s="72">
        <v>3</v>
      </c>
      <c r="P18" s="73" t="s">
        <v>43</v>
      </c>
      <c r="Q18" s="72"/>
      <c r="R18" s="72">
        <v>3</v>
      </c>
      <c r="S18" s="73" t="s">
        <v>43</v>
      </c>
      <c r="T18" s="72"/>
    </row>
    <row r="19" spans="1:20" ht="18.75">
      <c r="A19" s="70" t="s">
        <v>206</v>
      </c>
      <c r="B19" s="92" t="s">
        <v>5</v>
      </c>
      <c r="C19" s="76">
        <v>14</v>
      </c>
      <c r="D19" s="76" t="s">
        <v>19</v>
      </c>
      <c r="E19" s="76">
        <v>1.77</v>
      </c>
      <c r="F19" s="76">
        <v>14</v>
      </c>
      <c r="G19" s="76" t="s">
        <v>19</v>
      </c>
      <c r="H19" s="76">
        <v>3.53</v>
      </c>
      <c r="I19" s="76">
        <v>14</v>
      </c>
      <c r="J19" s="76" t="s">
        <v>19</v>
      </c>
      <c r="K19" s="76">
        <v>1.77</v>
      </c>
      <c r="L19" s="76">
        <v>14</v>
      </c>
      <c r="M19" s="76" t="s">
        <v>19</v>
      </c>
      <c r="N19" s="76">
        <v>3.53</v>
      </c>
      <c r="O19" s="76">
        <v>14</v>
      </c>
      <c r="P19" s="76" t="s">
        <v>19</v>
      </c>
      <c r="Q19" s="76">
        <v>1.77</v>
      </c>
      <c r="R19" s="76">
        <v>14</v>
      </c>
      <c r="S19" s="76" t="s">
        <v>19</v>
      </c>
      <c r="T19" s="76">
        <v>3.53</v>
      </c>
    </row>
    <row r="20" spans="1:20" ht="18.75">
      <c r="A20" s="70" t="s">
        <v>206</v>
      </c>
      <c r="B20" s="92" t="s">
        <v>7</v>
      </c>
      <c r="C20" s="76">
        <v>11</v>
      </c>
      <c r="D20" s="76" t="s">
        <v>19</v>
      </c>
      <c r="E20" s="76">
        <v>3.53</v>
      </c>
      <c r="F20" s="76">
        <v>11</v>
      </c>
      <c r="G20" s="76" t="s">
        <v>19</v>
      </c>
      <c r="H20" s="76">
        <v>7.07</v>
      </c>
      <c r="I20" s="76">
        <v>11</v>
      </c>
      <c r="J20" s="76" t="s">
        <v>19</v>
      </c>
      <c r="K20" s="76">
        <v>3.53</v>
      </c>
      <c r="L20" s="76">
        <v>11</v>
      </c>
      <c r="M20" s="76" t="s">
        <v>19</v>
      </c>
      <c r="N20" s="76">
        <v>7.07</v>
      </c>
      <c r="O20" s="76">
        <v>11</v>
      </c>
      <c r="P20" s="76" t="s">
        <v>19</v>
      </c>
      <c r="Q20" s="76">
        <v>3.53</v>
      </c>
      <c r="R20" s="76">
        <v>11</v>
      </c>
      <c r="S20" s="76" t="s">
        <v>19</v>
      </c>
      <c r="T20" s="76">
        <v>7.07</v>
      </c>
    </row>
    <row r="21" spans="1:20" ht="18.75">
      <c r="A21" s="70" t="s">
        <v>206</v>
      </c>
      <c r="B21" s="92" t="s">
        <v>219</v>
      </c>
      <c r="C21" s="76">
        <v>12</v>
      </c>
      <c r="D21" s="76" t="s">
        <v>19</v>
      </c>
      <c r="E21" s="76">
        <v>11.26</v>
      </c>
      <c r="F21" s="76">
        <v>12</v>
      </c>
      <c r="G21" s="76" t="s">
        <v>19</v>
      </c>
      <c r="H21" s="76">
        <v>22.5</v>
      </c>
      <c r="I21" s="76">
        <v>12</v>
      </c>
      <c r="J21" s="76" t="s">
        <v>19</v>
      </c>
      <c r="K21" s="76">
        <v>11.26</v>
      </c>
      <c r="L21" s="76">
        <v>12</v>
      </c>
      <c r="M21" s="76" t="s">
        <v>19</v>
      </c>
      <c r="N21" s="76">
        <v>22.5</v>
      </c>
      <c r="O21" s="76">
        <v>12</v>
      </c>
      <c r="P21" s="76" t="s">
        <v>19</v>
      </c>
      <c r="Q21" s="76">
        <v>11.26</v>
      </c>
      <c r="R21" s="76">
        <v>12</v>
      </c>
      <c r="S21" s="76" t="s">
        <v>19</v>
      </c>
      <c r="T21" s="76">
        <v>22.5</v>
      </c>
    </row>
    <row r="22" spans="1:20" ht="18.75">
      <c r="A22" s="70" t="s">
        <v>206</v>
      </c>
      <c r="B22" s="74" t="s">
        <v>0</v>
      </c>
      <c r="C22" s="68">
        <v>9999999</v>
      </c>
      <c r="D22" s="76" t="s">
        <v>19</v>
      </c>
      <c r="E22" s="75">
        <v>33.770000000000003</v>
      </c>
      <c r="F22" s="68">
        <v>9999999</v>
      </c>
      <c r="G22" s="76" t="s">
        <v>19</v>
      </c>
      <c r="H22" s="75">
        <v>67.489999999999995</v>
      </c>
      <c r="I22" s="68">
        <v>9999999</v>
      </c>
      <c r="J22" s="76" t="s">
        <v>19</v>
      </c>
      <c r="K22" s="75">
        <v>33.770000000000003</v>
      </c>
      <c r="L22" s="68">
        <v>9999999</v>
      </c>
      <c r="M22" s="76" t="s">
        <v>19</v>
      </c>
      <c r="N22" s="75">
        <v>67.489999999999995</v>
      </c>
      <c r="O22" s="68">
        <v>9999999</v>
      </c>
      <c r="P22" s="76" t="s">
        <v>19</v>
      </c>
      <c r="Q22" s="75">
        <v>33.770000000000003</v>
      </c>
      <c r="R22" s="68">
        <v>9999999</v>
      </c>
      <c r="S22" s="76" t="s">
        <v>19</v>
      </c>
      <c r="T22" s="75">
        <v>67.489999999999995</v>
      </c>
    </row>
    <row r="23" spans="1:20" ht="18.75">
      <c r="A23" s="61" t="s">
        <v>211</v>
      </c>
      <c r="B23" s="62" t="s">
        <v>1</v>
      </c>
      <c r="C23" s="63">
        <v>4</v>
      </c>
      <c r="D23" s="64" t="s">
        <v>43</v>
      </c>
      <c r="E23" s="63"/>
      <c r="F23" s="63">
        <v>4</v>
      </c>
      <c r="G23" s="64" t="s">
        <v>43</v>
      </c>
      <c r="H23" s="63"/>
      <c r="I23" s="63">
        <v>4</v>
      </c>
      <c r="J23" s="64" t="s">
        <v>43</v>
      </c>
      <c r="K23" s="63"/>
      <c r="L23" s="63">
        <v>4</v>
      </c>
      <c r="M23" s="64" t="s">
        <v>43</v>
      </c>
      <c r="N23" s="63"/>
      <c r="O23" s="63">
        <v>4</v>
      </c>
      <c r="P23" s="64" t="s">
        <v>43</v>
      </c>
      <c r="Q23" s="63"/>
      <c r="R23" s="63">
        <v>4</v>
      </c>
      <c r="S23" s="64" t="s">
        <v>43</v>
      </c>
      <c r="T23" s="63"/>
    </row>
    <row r="24" spans="1:20" ht="18.75">
      <c r="A24" s="61" t="s">
        <v>211</v>
      </c>
      <c r="B24" s="65" t="s">
        <v>5</v>
      </c>
      <c r="C24" s="66">
        <v>10</v>
      </c>
      <c r="D24" s="66" t="s">
        <v>19</v>
      </c>
      <c r="E24" s="66">
        <v>4.37</v>
      </c>
      <c r="F24" s="66">
        <v>10</v>
      </c>
      <c r="G24" s="66" t="s">
        <v>19</v>
      </c>
      <c r="H24" s="66">
        <v>8.74</v>
      </c>
      <c r="I24" s="66">
        <v>10</v>
      </c>
      <c r="J24" s="66" t="s">
        <v>19</v>
      </c>
      <c r="K24" s="66">
        <v>4.37</v>
      </c>
      <c r="L24" s="66">
        <v>10</v>
      </c>
      <c r="M24" s="66" t="s">
        <v>19</v>
      </c>
      <c r="N24" s="66">
        <v>8.74</v>
      </c>
      <c r="O24" s="66">
        <v>10</v>
      </c>
      <c r="P24" s="66" t="s">
        <v>19</v>
      </c>
      <c r="Q24" s="66">
        <v>4.37</v>
      </c>
      <c r="R24" s="66">
        <v>10</v>
      </c>
      <c r="S24" s="66" t="s">
        <v>19</v>
      </c>
      <c r="T24" s="66">
        <v>8.74</v>
      </c>
    </row>
    <row r="25" spans="1:20" ht="18.75">
      <c r="A25" s="61" t="s">
        <v>211</v>
      </c>
      <c r="B25" s="67" t="s">
        <v>0</v>
      </c>
      <c r="C25" s="68">
        <v>9999999</v>
      </c>
      <c r="D25" s="66" t="s">
        <v>19</v>
      </c>
      <c r="E25" s="68">
        <v>10.77</v>
      </c>
      <c r="F25" s="68">
        <v>9999999</v>
      </c>
      <c r="G25" s="66" t="s">
        <v>19</v>
      </c>
      <c r="H25" s="68">
        <v>21.54</v>
      </c>
      <c r="I25" s="68">
        <v>9999999</v>
      </c>
      <c r="J25" s="66" t="s">
        <v>19</v>
      </c>
      <c r="K25" s="68">
        <v>10.77</v>
      </c>
      <c r="L25" s="68">
        <v>9999999</v>
      </c>
      <c r="M25" s="66" t="s">
        <v>19</v>
      </c>
      <c r="N25" s="68">
        <v>21.54</v>
      </c>
      <c r="O25" s="68">
        <v>9999999</v>
      </c>
      <c r="P25" s="66" t="s">
        <v>19</v>
      </c>
      <c r="Q25" s="68">
        <v>10.77</v>
      </c>
      <c r="R25" s="68">
        <v>9999999</v>
      </c>
      <c r="S25" s="66" t="s">
        <v>19</v>
      </c>
      <c r="T25" s="68">
        <v>21.54</v>
      </c>
    </row>
    <row r="26" spans="1:20" ht="18.75">
      <c r="A26" s="70" t="s">
        <v>212</v>
      </c>
      <c r="B26" s="71" t="s">
        <v>1</v>
      </c>
      <c r="C26" s="72">
        <v>4</v>
      </c>
      <c r="D26" s="73" t="s">
        <v>43</v>
      </c>
      <c r="E26" s="72"/>
      <c r="F26" s="72">
        <v>4</v>
      </c>
      <c r="G26" s="73" t="s">
        <v>43</v>
      </c>
      <c r="H26" s="72"/>
      <c r="I26" s="72">
        <v>4</v>
      </c>
      <c r="J26" s="73" t="s">
        <v>43</v>
      </c>
      <c r="K26" s="72"/>
      <c r="L26" s="72">
        <v>4</v>
      </c>
      <c r="M26" s="73" t="s">
        <v>43</v>
      </c>
      <c r="N26" s="72"/>
      <c r="O26" s="72">
        <v>4</v>
      </c>
      <c r="P26" s="73" t="s">
        <v>43</v>
      </c>
      <c r="Q26" s="72"/>
      <c r="R26" s="72">
        <v>4</v>
      </c>
      <c r="S26" s="73" t="s">
        <v>43</v>
      </c>
      <c r="T26" s="72"/>
    </row>
    <row r="27" spans="1:20" ht="18.75">
      <c r="A27" s="70" t="s">
        <v>212</v>
      </c>
      <c r="B27" s="92" t="s">
        <v>5</v>
      </c>
      <c r="C27" s="76">
        <v>3</v>
      </c>
      <c r="D27" s="76" t="s">
        <v>19</v>
      </c>
      <c r="E27" s="76">
        <v>1.76</v>
      </c>
      <c r="F27" s="76">
        <v>3</v>
      </c>
      <c r="G27" s="76" t="s">
        <v>19</v>
      </c>
      <c r="H27" s="76">
        <v>3.52</v>
      </c>
      <c r="I27" s="76">
        <v>3</v>
      </c>
      <c r="J27" s="76" t="s">
        <v>19</v>
      </c>
      <c r="K27" s="76">
        <v>1.76</v>
      </c>
      <c r="L27" s="76">
        <v>3</v>
      </c>
      <c r="M27" s="76" t="s">
        <v>19</v>
      </c>
      <c r="N27" s="76">
        <v>3.52</v>
      </c>
      <c r="O27" s="76">
        <v>3</v>
      </c>
      <c r="P27" s="76" t="s">
        <v>19</v>
      </c>
      <c r="Q27" s="76">
        <v>1.76</v>
      </c>
      <c r="R27" s="76">
        <v>3</v>
      </c>
      <c r="S27" s="76" t="s">
        <v>19</v>
      </c>
      <c r="T27" s="76">
        <v>3.52</v>
      </c>
    </row>
    <row r="28" spans="1:20" ht="18.75">
      <c r="A28" s="70" t="s">
        <v>212</v>
      </c>
      <c r="B28" s="92" t="s">
        <v>7</v>
      </c>
      <c r="C28" s="76">
        <v>11</v>
      </c>
      <c r="D28" s="76" t="s">
        <v>19</v>
      </c>
      <c r="E28" s="76">
        <v>3.52</v>
      </c>
      <c r="F28" s="76">
        <v>11</v>
      </c>
      <c r="G28" s="76" t="s">
        <v>19</v>
      </c>
      <c r="H28" s="76">
        <v>7.04</v>
      </c>
      <c r="I28" s="76">
        <v>11</v>
      </c>
      <c r="J28" s="76" t="s">
        <v>19</v>
      </c>
      <c r="K28" s="76">
        <v>3.52</v>
      </c>
      <c r="L28" s="76">
        <v>11</v>
      </c>
      <c r="M28" s="76" t="s">
        <v>19</v>
      </c>
      <c r="N28" s="76">
        <v>7.04</v>
      </c>
      <c r="O28" s="76">
        <v>11</v>
      </c>
      <c r="P28" s="76" t="s">
        <v>19</v>
      </c>
      <c r="Q28" s="76">
        <v>3.52</v>
      </c>
      <c r="R28" s="76">
        <v>11</v>
      </c>
      <c r="S28" s="76" t="s">
        <v>19</v>
      </c>
      <c r="T28" s="76">
        <v>7.04</v>
      </c>
    </row>
    <row r="29" spans="1:20" ht="18.75">
      <c r="A29" s="70" t="s">
        <v>212</v>
      </c>
      <c r="B29" s="92" t="s">
        <v>219</v>
      </c>
      <c r="C29" s="76">
        <v>12</v>
      </c>
      <c r="D29" s="76" t="s">
        <v>19</v>
      </c>
      <c r="E29" s="76">
        <v>11.21</v>
      </c>
      <c r="F29" s="76">
        <v>12</v>
      </c>
      <c r="G29" s="76" t="s">
        <v>19</v>
      </c>
      <c r="H29" s="76">
        <v>22.42</v>
      </c>
      <c r="I29" s="76">
        <v>12</v>
      </c>
      <c r="J29" s="76" t="s">
        <v>19</v>
      </c>
      <c r="K29" s="76">
        <v>11.21</v>
      </c>
      <c r="L29" s="76">
        <v>12</v>
      </c>
      <c r="M29" s="76" t="s">
        <v>19</v>
      </c>
      <c r="N29" s="76">
        <v>22.42</v>
      </c>
      <c r="O29" s="76">
        <v>12</v>
      </c>
      <c r="P29" s="76" t="s">
        <v>19</v>
      </c>
      <c r="Q29" s="76">
        <v>11.21</v>
      </c>
      <c r="R29" s="76">
        <v>12</v>
      </c>
      <c r="S29" s="76" t="s">
        <v>19</v>
      </c>
      <c r="T29" s="76">
        <v>22.42</v>
      </c>
    </row>
    <row r="30" spans="1:20" ht="18.75">
      <c r="A30" s="70" t="s">
        <v>212</v>
      </c>
      <c r="B30" s="74" t="s">
        <v>0</v>
      </c>
      <c r="C30" s="68">
        <v>9999999</v>
      </c>
      <c r="D30" s="76" t="s">
        <v>19</v>
      </c>
      <c r="E30" s="75">
        <v>33.619999999999997</v>
      </c>
      <c r="F30" s="68">
        <v>9999999</v>
      </c>
      <c r="G30" s="76" t="s">
        <v>19</v>
      </c>
      <c r="H30" s="75">
        <v>67.239999999999995</v>
      </c>
      <c r="I30" s="68">
        <v>9999999</v>
      </c>
      <c r="J30" s="76" t="s">
        <v>19</v>
      </c>
      <c r="K30" s="75">
        <v>33.619999999999997</v>
      </c>
      <c r="L30" s="68">
        <v>9999999</v>
      </c>
      <c r="M30" s="76" t="s">
        <v>19</v>
      </c>
      <c r="N30" s="75">
        <v>67.239999999999995</v>
      </c>
      <c r="O30" s="68">
        <v>9999999</v>
      </c>
      <c r="P30" s="76" t="s">
        <v>19</v>
      </c>
      <c r="Q30" s="75">
        <v>33.619999999999997</v>
      </c>
      <c r="R30" s="68">
        <v>9999999</v>
      </c>
      <c r="S30" s="76" t="s">
        <v>19</v>
      </c>
      <c r="T30" s="75">
        <v>67.239999999999995</v>
      </c>
    </row>
    <row r="31" spans="1:20" ht="18.75">
      <c r="A31" s="61" t="s">
        <v>184</v>
      </c>
      <c r="B31" s="62" t="s">
        <v>1</v>
      </c>
      <c r="C31" s="66">
        <v>2</v>
      </c>
      <c r="D31" s="64" t="s">
        <v>43</v>
      </c>
      <c r="E31" s="63"/>
      <c r="F31" s="63">
        <v>2</v>
      </c>
      <c r="G31" s="64" t="s">
        <v>43</v>
      </c>
      <c r="H31" s="63"/>
      <c r="I31" s="66">
        <v>2</v>
      </c>
      <c r="J31" s="64" t="s">
        <v>43</v>
      </c>
      <c r="K31" s="63"/>
      <c r="L31" s="63">
        <v>2</v>
      </c>
      <c r="M31" s="64" t="s">
        <v>43</v>
      </c>
      <c r="N31" s="63"/>
      <c r="O31" s="63">
        <v>2</v>
      </c>
      <c r="P31" s="64" t="s">
        <v>43</v>
      </c>
      <c r="Q31" s="63"/>
      <c r="R31" s="63">
        <v>2</v>
      </c>
      <c r="S31" s="64" t="s">
        <v>43</v>
      </c>
      <c r="T31" s="63"/>
    </row>
    <row r="32" spans="1:20" ht="18.75">
      <c r="A32" s="61" t="s">
        <v>184</v>
      </c>
      <c r="B32" s="67" t="s">
        <v>0</v>
      </c>
      <c r="C32" s="68">
        <v>9999999</v>
      </c>
      <c r="D32" s="66" t="s">
        <v>19</v>
      </c>
      <c r="E32" s="68">
        <v>6.5</v>
      </c>
      <c r="F32" s="68">
        <v>9999999</v>
      </c>
      <c r="G32" s="66" t="s">
        <v>19</v>
      </c>
      <c r="H32" s="68">
        <v>13</v>
      </c>
      <c r="I32" s="68">
        <v>9999999</v>
      </c>
      <c r="J32" s="66" t="s">
        <v>19</v>
      </c>
      <c r="K32" s="68">
        <v>6.5</v>
      </c>
      <c r="L32" s="68">
        <v>9999999</v>
      </c>
      <c r="M32" s="66" t="s">
        <v>19</v>
      </c>
      <c r="N32" s="68">
        <v>13</v>
      </c>
      <c r="O32" s="68">
        <v>9999999</v>
      </c>
      <c r="P32" s="66" t="s">
        <v>19</v>
      </c>
      <c r="Q32" s="68">
        <v>6.5</v>
      </c>
      <c r="R32" s="68">
        <v>9999999</v>
      </c>
      <c r="S32" s="66" t="s">
        <v>19</v>
      </c>
      <c r="T32" s="68">
        <v>13</v>
      </c>
    </row>
    <row r="33" spans="1:20" ht="18.75">
      <c r="A33" s="70" t="s">
        <v>200</v>
      </c>
      <c r="B33" s="71" t="s">
        <v>1</v>
      </c>
      <c r="C33" s="72">
        <v>5</v>
      </c>
      <c r="D33" s="73" t="s">
        <v>43</v>
      </c>
      <c r="E33" s="72"/>
      <c r="F33" s="72">
        <v>5</v>
      </c>
      <c r="G33" s="73" t="s">
        <v>43</v>
      </c>
      <c r="H33" s="72"/>
      <c r="I33" s="72">
        <v>5</v>
      </c>
      <c r="J33" s="73" t="s">
        <v>43</v>
      </c>
      <c r="K33" s="72"/>
      <c r="L33" s="72">
        <v>5</v>
      </c>
      <c r="M33" s="73" t="s">
        <v>43</v>
      </c>
      <c r="N33" s="72"/>
      <c r="O33" s="72">
        <v>5</v>
      </c>
      <c r="P33" s="73" t="s">
        <v>43</v>
      </c>
      <c r="Q33" s="72"/>
      <c r="R33" s="72">
        <v>5</v>
      </c>
      <c r="S33" s="73" t="s">
        <v>43</v>
      </c>
      <c r="T33" s="72"/>
    </row>
    <row r="34" spans="1:20" ht="18.75">
      <c r="A34" s="70" t="s">
        <v>200</v>
      </c>
      <c r="B34" s="92" t="s">
        <v>5</v>
      </c>
      <c r="C34" s="76">
        <v>5</v>
      </c>
      <c r="D34" s="76" t="s">
        <v>19</v>
      </c>
      <c r="E34" s="76">
        <v>1.0900000000000001</v>
      </c>
      <c r="F34" s="76">
        <v>5</v>
      </c>
      <c r="G34" s="76" t="s">
        <v>19</v>
      </c>
      <c r="H34" s="76">
        <v>2.1800000000000002</v>
      </c>
      <c r="I34" s="76">
        <v>5</v>
      </c>
      <c r="J34" s="76" t="s">
        <v>19</v>
      </c>
      <c r="K34" s="76">
        <v>1.0900000000000001</v>
      </c>
      <c r="L34" s="76">
        <v>5</v>
      </c>
      <c r="M34" s="76" t="s">
        <v>19</v>
      </c>
      <c r="N34" s="76">
        <v>2.1800000000000002</v>
      </c>
      <c r="O34" s="76">
        <v>5</v>
      </c>
      <c r="P34" s="76" t="s">
        <v>19</v>
      </c>
      <c r="Q34" s="76">
        <v>1.0900000000000001</v>
      </c>
      <c r="R34" s="76">
        <v>5</v>
      </c>
      <c r="S34" s="76" t="s">
        <v>19</v>
      </c>
      <c r="T34" s="76">
        <v>2.1800000000000002</v>
      </c>
    </row>
    <row r="35" spans="1:20" ht="18.75">
      <c r="A35" s="70" t="s">
        <v>200</v>
      </c>
      <c r="B35" s="92" t="s">
        <v>7</v>
      </c>
      <c r="C35" s="76">
        <v>5</v>
      </c>
      <c r="D35" s="76" t="s">
        <v>19</v>
      </c>
      <c r="E35" s="76">
        <v>2.66</v>
      </c>
      <c r="F35" s="76">
        <v>5</v>
      </c>
      <c r="G35" s="76" t="s">
        <v>19</v>
      </c>
      <c r="H35" s="76">
        <v>5.32</v>
      </c>
      <c r="I35" s="76">
        <v>5</v>
      </c>
      <c r="J35" s="76" t="s">
        <v>19</v>
      </c>
      <c r="K35" s="76">
        <v>2.66</v>
      </c>
      <c r="L35" s="76">
        <v>5</v>
      </c>
      <c r="M35" s="76" t="s">
        <v>19</v>
      </c>
      <c r="N35" s="76">
        <v>5.32</v>
      </c>
      <c r="O35" s="76">
        <v>5</v>
      </c>
      <c r="P35" s="76" t="s">
        <v>19</v>
      </c>
      <c r="Q35" s="76">
        <v>2.66</v>
      </c>
      <c r="R35" s="76">
        <v>5</v>
      </c>
      <c r="S35" s="76" t="s">
        <v>19</v>
      </c>
      <c r="T35" s="76">
        <v>5.32</v>
      </c>
    </row>
    <row r="36" spans="1:20" ht="18.75">
      <c r="A36" s="70" t="s">
        <v>200</v>
      </c>
      <c r="B36" s="74" t="s">
        <v>0</v>
      </c>
      <c r="C36" s="68">
        <v>9999999</v>
      </c>
      <c r="D36" s="76" t="s">
        <v>19</v>
      </c>
      <c r="E36" s="75">
        <v>5.6</v>
      </c>
      <c r="F36" s="68">
        <v>9999999</v>
      </c>
      <c r="G36" s="76" t="s">
        <v>19</v>
      </c>
      <c r="H36" s="75">
        <v>11.2</v>
      </c>
      <c r="I36" s="68">
        <v>9999999</v>
      </c>
      <c r="J36" s="76" t="s">
        <v>19</v>
      </c>
      <c r="K36" s="75">
        <v>5.6</v>
      </c>
      <c r="L36" s="68">
        <v>9999999</v>
      </c>
      <c r="M36" s="76" t="s">
        <v>19</v>
      </c>
      <c r="N36" s="75">
        <v>11.2</v>
      </c>
      <c r="O36" s="68">
        <v>9999999</v>
      </c>
      <c r="P36" s="76" t="s">
        <v>19</v>
      </c>
      <c r="Q36" s="75">
        <v>5.6</v>
      </c>
      <c r="R36" s="68">
        <v>9999999</v>
      </c>
      <c r="S36" s="76" t="s">
        <v>19</v>
      </c>
      <c r="T36" s="75">
        <v>11.2</v>
      </c>
    </row>
    <row r="37" spans="1:20" ht="18.75">
      <c r="A37" s="61" t="s">
        <v>203</v>
      </c>
      <c r="B37" s="62" t="s">
        <v>1</v>
      </c>
      <c r="C37" s="63">
        <v>5</v>
      </c>
      <c r="D37" s="64" t="s">
        <v>43</v>
      </c>
      <c r="E37" s="63"/>
      <c r="F37" s="63">
        <v>5</v>
      </c>
      <c r="G37" s="64" t="s">
        <v>43</v>
      </c>
      <c r="H37" s="63"/>
      <c r="I37" s="63">
        <v>5</v>
      </c>
      <c r="J37" s="64" t="s">
        <v>43</v>
      </c>
      <c r="K37" s="63"/>
      <c r="L37" s="63">
        <v>5</v>
      </c>
      <c r="M37" s="64" t="s">
        <v>43</v>
      </c>
      <c r="N37" s="63"/>
      <c r="O37" s="63">
        <v>5</v>
      </c>
      <c r="P37" s="64" t="s">
        <v>43</v>
      </c>
      <c r="Q37" s="63"/>
      <c r="R37" s="63">
        <v>5</v>
      </c>
      <c r="S37" s="64" t="s">
        <v>43</v>
      </c>
      <c r="T37" s="63"/>
    </row>
    <row r="38" spans="1:20" ht="18.75">
      <c r="A38" s="61" t="s">
        <v>203</v>
      </c>
      <c r="B38" s="65" t="s">
        <v>5</v>
      </c>
      <c r="C38" s="66">
        <v>3</v>
      </c>
      <c r="D38" s="66" t="s">
        <v>19</v>
      </c>
      <c r="E38" s="66">
        <v>1.44</v>
      </c>
      <c r="F38" s="66">
        <v>3</v>
      </c>
      <c r="G38" s="66" t="s">
        <v>19</v>
      </c>
      <c r="H38" s="66">
        <v>2.88</v>
      </c>
      <c r="I38" s="66">
        <v>3</v>
      </c>
      <c r="J38" s="66" t="s">
        <v>19</v>
      </c>
      <c r="K38" s="66">
        <v>1.44</v>
      </c>
      <c r="L38" s="66">
        <v>3</v>
      </c>
      <c r="M38" s="66" t="s">
        <v>19</v>
      </c>
      <c r="N38" s="66">
        <v>2.88</v>
      </c>
      <c r="O38" s="66">
        <v>3</v>
      </c>
      <c r="P38" s="66" t="s">
        <v>19</v>
      </c>
      <c r="Q38" s="66">
        <v>1.44</v>
      </c>
      <c r="R38" s="66">
        <v>3</v>
      </c>
      <c r="S38" s="66" t="s">
        <v>19</v>
      </c>
      <c r="T38" s="66">
        <v>2.88</v>
      </c>
    </row>
    <row r="39" spans="1:20" ht="18.75">
      <c r="A39" s="61" t="s">
        <v>203</v>
      </c>
      <c r="B39" s="65" t="s">
        <v>7</v>
      </c>
      <c r="C39" s="66">
        <v>7</v>
      </c>
      <c r="D39" s="66" t="s">
        <v>19</v>
      </c>
      <c r="E39" s="66">
        <v>2.02</v>
      </c>
      <c r="F39" s="66">
        <v>7</v>
      </c>
      <c r="G39" s="66" t="s">
        <v>19</v>
      </c>
      <c r="H39" s="66">
        <v>4.04</v>
      </c>
      <c r="I39" s="66">
        <v>7</v>
      </c>
      <c r="J39" s="66" t="s">
        <v>19</v>
      </c>
      <c r="K39" s="66">
        <v>2.02</v>
      </c>
      <c r="L39" s="66">
        <v>7</v>
      </c>
      <c r="M39" s="66" t="s">
        <v>19</v>
      </c>
      <c r="N39" s="66">
        <v>4.04</v>
      </c>
      <c r="O39" s="66">
        <v>7</v>
      </c>
      <c r="P39" s="66" t="s">
        <v>19</v>
      </c>
      <c r="Q39" s="66">
        <v>2.02</v>
      </c>
      <c r="R39" s="66">
        <v>7</v>
      </c>
      <c r="S39" s="66" t="s">
        <v>19</v>
      </c>
      <c r="T39" s="66">
        <v>4.04</v>
      </c>
    </row>
    <row r="40" spans="1:20" ht="18.75">
      <c r="A40" s="61" t="s">
        <v>203</v>
      </c>
      <c r="B40" s="67" t="s">
        <v>0</v>
      </c>
      <c r="C40" s="68">
        <v>9999999</v>
      </c>
      <c r="D40" s="66" t="s">
        <v>19</v>
      </c>
      <c r="E40" s="68">
        <v>4.04</v>
      </c>
      <c r="F40" s="68">
        <v>9999999</v>
      </c>
      <c r="G40" s="66" t="s">
        <v>19</v>
      </c>
      <c r="H40" s="68">
        <v>8.08</v>
      </c>
      <c r="I40" s="68">
        <v>9999999</v>
      </c>
      <c r="J40" s="66" t="s">
        <v>19</v>
      </c>
      <c r="K40" s="68">
        <v>4.04</v>
      </c>
      <c r="L40" s="68">
        <v>9999999</v>
      </c>
      <c r="M40" s="66" t="s">
        <v>19</v>
      </c>
      <c r="N40" s="68">
        <v>8.08</v>
      </c>
      <c r="O40" s="68">
        <v>9999999</v>
      </c>
      <c r="P40" s="66" t="s">
        <v>19</v>
      </c>
      <c r="Q40" s="68">
        <v>4.04</v>
      </c>
      <c r="R40" s="68">
        <v>9999999</v>
      </c>
      <c r="S40" s="66" t="s">
        <v>19</v>
      </c>
      <c r="T40" s="68">
        <v>8.08</v>
      </c>
    </row>
    <row r="41" spans="1:20" ht="18.75">
      <c r="A41" s="70" t="s">
        <v>197</v>
      </c>
      <c r="B41" s="71" t="s">
        <v>1</v>
      </c>
      <c r="C41" s="72">
        <v>5</v>
      </c>
      <c r="D41" s="73" t="s">
        <v>43</v>
      </c>
      <c r="E41" s="72"/>
      <c r="F41" s="72">
        <v>5</v>
      </c>
      <c r="G41" s="73" t="s">
        <v>43</v>
      </c>
      <c r="H41" s="72"/>
      <c r="I41" s="72">
        <v>5</v>
      </c>
      <c r="J41" s="73" t="s">
        <v>43</v>
      </c>
      <c r="K41" s="72"/>
      <c r="L41" s="72">
        <v>5</v>
      </c>
      <c r="M41" s="73" t="s">
        <v>43</v>
      </c>
      <c r="N41" s="72"/>
      <c r="O41" s="72">
        <v>5</v>
      </c>
      <c r="P41" s="73" t="s">
        <v>43</v>
      </c>
      <c r="Q41" s="72"/>
      <c r="R41" s="72">
        <v>5</v>
      </c>
      <c r="S41" s="73" t="s">
        <v>43</v>
      </c>
      <c r="T41" s="72"/>
    </row>
    <row r="42" spans="1:20" ht="18.75">
      <c r="A42" s="70" t="s">
        <v>197</v>
      </c>
      <c r="B42" s="92" t="s">
        <v>5</v>
      </c>
      <c r="C42" s="76">
        <v>1</v>
      </c>
      <c r="D42" s="76" t="s">
        <v>19</v>
      </c>
      <c r="E42" s="76">
        <v>10.86</v>
      </c>
      <c r="F42" s="76">
        <v>1</v>
      </c>
      <c r="G42" s="76" t="s">
        <v>19</v>
      </c>
      <c r="H42" s="76">
        <v>21.72</v>
      </c>
      <c r="I42" s="76">
        <v>1</v>
      </c>
      <c r="J42" s="76" t="s">
        <v>19</v>
      </c>
      <c r="K42" s="76">
        <v>10.86</v>
      </c>
      <c r="L42" s="76">
        <v>1</v>
      </c>
      <c r="M42" s="76" t="s">
        <v>19</v>
      </c>
      <c r="N42" s="76">
        <v>21.72</v>
      </c>
      <c r="O42" s="76">
        <v>1</v>
      </c>
      <c r="P42" s="76" t="s">
        <v>19</v>
      </c>
      <c r="Q42" s="76">
        <v>10.86</v>
      </c>
      <c r="R42" s="76">
        <v>1</v>
      </c>
      <c r="S42" s="76" t="s">
        <v>19</v>
      </c>
      <c r="T42" s="76">
        <v>21.72</v>
      </c>
    </row>
    <row r="43" spans="1:20" ht="18.75">
      <c r="A43" s="70" t="s">
        <v>197</v>
      </c>
      <c r="B43" s="92" t="s">
        <v>7</v>
      </c>
      <c r="C43" s="76">
        <v>4</v>
      </c>
      <c r="D43" s="76" t="s">
        <v>19</v>
      </c>
      <c r="E43" s="76">
        <v>1.81</v>
      </c>
      <c r="F43" s="76">
        <v>4</v>
      </c>
      <c r="G43" s="76" t="s">
        <v>19</v>
      </c>
      <c r="H43" s="76">
        <v>3.62</v>
      </c>
      <c r="I43" s="76">
        <v>4</v>
      </c>
      <c r="J43" s="76" t="s">
        <v>19</v>
      </c>
      <c r="K43" s="76">
        <v>1.81</v>
      </c>
      <c r="L43" s="76">
        <v>4</v>
      </c>
      <c r="M43" s="76" t="s">
        <v>19</v>
      </c>
      <c r="N43" s="76">
        <v>3.62</v>
      </c>
      <c r="O43" s="76">
        <v>4</v>
      </c>
      <c r="P43" s="76" t="s">
        <v>19</v>
      </c>
      <c r="Q43" s="76">
        <v>1.81</v>
      </c>
      <c r="R43" s="76">
        <v>4</v>
      </c>
      <c r="S43" s="76" t="s">
        <v>19</v>
      </c>
      <c r="T43" s="76">
        <v>3.62</v>
      </c>
    </row>
    <row r="44" spans="1:20" ht="18.75">
      <c r="A44" s="70" t="s">
        <v>197</v>
      </c>
      <c r="B44" s="92" t="s">
        <v>219</v>
      </c>
      <c r="C44" s="76">
        <v>1</v>
      </c>
      <c r="D44" s="76" t="s">
        <v>19</v>
      </c>
      <c r="E44" s="76">
        <v>17.98</v>
      </c>
      <c r="F44" s="76">
        <v>1</v>
      </c>
      <c r="G44" s="76" t="s">
        <v>19</v>
      </c>
      <c r="H44" s="76">
        <v>35.96</v>
      </c>
      <c r="I44" s="76">
        <v>1</v>
      </c>
      <c r="J44" s="76" t="s">
        <v>19</v>
      </c>
      <c r="K44" s="76">
        <v>17.98</v>
      </c>
      <c r="L44" s="76">
        <v>1</v>
      </c>
      <c r="M44" s="76" t="s">
        <v>19</v>
      </c>
      <c r="N44" s="76">
        <v>35.96</v>
      </c>
      <c r="O44" s="76">
        <v>1</v>
      </c>
      <c r="P44" s="76" t="s">
        <v>19</v>
      </c>
      <c r="Q44" s="76">
        <v>17.98</v>
      </c>
      <c r="R44" s="76">
        <v>1</v>
      </c>
      <c r="S44" s="76" t="s">
        <v>19</v>
      </c>
      <c r="T44" s="76">
        <v>35.96</v>
      </c>
    </row>
    <row r="45" spans="1:20" ht="18.75">
      <c r="A45" s="70" t="s">
        <v>197</v>
      </c>
      <c r="B45" s="74" t="s">
        <v>0</v>
      </c>
      <c r="C45" s="68">
        <v>9999999</v>
      </c>
      <c r="D45" s="76"/>
      <c r="E45" s="75">
        <v>3.28</v>
      </c>
      <c r="F45" s="68">
        <v>9999999</v>
      </c>
      <c r="G45" s="76"/>
      <c r="H45" s="75">
        <v>6.56</v>
      </c>
      <c r="I45" s="68">
        <v>9999999</v>
      </c>
      <c r="J45" s="76"/>
      <c r="K45" s="75">
        <v>3.28</v>
      </c>
      <c r="L45" s="68">
        <v>9999999</v>
      </c>
      <c r="M45" s="76"/>
      <c r="N45" s="75">
        <v>6.56</v>
      </c>
      <c r="O45" s="68">
        <v>9999999</v>
      </c>
      <c r="P45" s="76"/>
      <c r="Q45" s="75">
        <v>3.28</v>
      </c>
      <c r="R45" s="68">
        <v>9999999</v>
      </c>
      <c r="S45" s="76"/>
      <c r="T45" s="75">
        <v>6.56</v>
      </c>
    </row>
    <row r="46" spans="1:20" ht="18.75">
      <c r="A46" s="61" t="s">
        <v>189</v>
      </c>
      <c r="B46" s="62" t="s">
        <v>1</v>
      </c>
      <c r="C46" s="63">
        <v>5</v>
      </c>
      <c r="D46" s="64" t="s">
        <v>43</v>
      </c>
      <c r="E46" s="63"/>
      <c r="F46" s="63">
        <v>5</v>
      </c>
      <c r="G46" s="64" t="s">
        <v>43</v>
      </c>
      <c r="H46" s="63"/>
      <c r="I46" s="63">
        <v>5</v>
      </c>
      <c r="J46" s="64" t="s">
        <v>43</v>
      </c>
      <c r="K46" s="63"/>
      <c r="L46" s="63">
        <v>5</v>
      </c>
      <c r="M46" s="64" t="s">
        <v>43</v>
      </c>
      <c r="N46" s="63"/>
      <c r="O46" s="63">
        <v>5</v>
      </c>
      <c r="P46" s="64" t="s">
        <v>43</v>
      </c>
      <c r="Q46" s="63"/>
      <c r="R46" s="63">
        <v>5</v>
      </c>
      <c r="S46" s="64" t="s">
        <v>43</v>
      </c>
      <c r="T46" s="63"/>
    </row>
    <row r="47" spans="1:20" ht="18.75">
      <c r="A47" s="61" t="s">
        <v>189</v>
      </c>
      <c r="B47" s="65" t="s">
        <v>5</v>
      </c>
      <c r="C47" s="66">
        <v>3</v>
      </c>
      <c r="D47" s="66" t="s">
        <v>19</v>
      </c>
      <c r="E47" s="66">
        <v>3.1</v>
      </c>
      <c r="F47" s="66">
        <v>3</v>
      </c>
      <c r="G47" s="66" t="s">
        <v>19</v>
      </c>
      <c r="H47" s="66">
        <v>4.1399999999999997</v>
      </c>
      <c r="I47" s="66">
        <v>3</v>
      </c>
      <c r="J47" s="66" t="s">
        <v>19</v>
      </c>
      <c r="K47" s="66">
        <v>3.1</v>
      </c>
      <c r="L47" s="66">
        <v>3</v>
      </c>
      <c r="M47" s="66" t="s">
        <v>19</v>
      </c>
      <c r="N47" s="66">
        <v>4.1399999999999997</v>
      </c>
      <c r="O47" s="66">
        <v>3</v>
      </c>
      <c r="P47" s="66" t="s">
        <v>19</v>
      </c>
      <c r="Q47" s="66">
        <v>3.1</v>
      </c>
      <c r="R47" s="66">
        <v>3</v>
      </c>
      <c r="S47" s="66" t="s">
        <v>19</v>
      </c>
      <c r="T47" s="66">
        <v>4.1399999999999997</v>
      </c>
    </row>
    <row r="48" spans="1:20" ht="18.75">
      <c r="A48" s="61" t="s">
        <v>189</v>
      </c>
      <c r="B48" s="65" t="s">
        <v>7</v>
      </c>
      <c r="C48" s="66">
        <v>7</v>
      </c>
      <c r="D48" s="66" t="s">
        <v>19</v>
      </c>
      <c r="E48" s="66">
        <v>8.25</v>
      </c>
      <c r="F48" s="66">
        <v>7</v>
      </c>
      <c r="G48" s="66" t="s">
        <v>19</v>
      </c>
      <c r="H48" s="66">
        <v>10.5</v>
      </c>
      <c r="I48" s="66">
        <v>7</v>
      </c>
      <c r="J48" s="66" t="s">
        <v>19</v>
      </c>
      <c r="K48" s="66">
        <v>8.25</v>
      </c>
      <c r="L48" s="66">
        <v>7</v>
      </c>
      <c r="M48" s="66" t="s">
        <v>19</v>
      </c>
      <c r="N48" s="66">
        <v>10.5</v>
      </c>
      <c r="O48" s="66">
        <v>7</v>
      </c>
      <c r="P48" s="66" t="s">
        <v>19</v>
      </c>
      <c r="Q48" s="66">
        <v>8.25</v>
      </c>
      <c r="R48" s="66">
        <v>7</v>
      </c>
      <c r="S48" s="66" t="s">
        <v>19</v>
      </c>
      <c r="T48" s="66">
        <v>10.5</v>
      </c>
    </row>
    <row r="49" spans="1:20" ht="18.75">
      <c r="A49" s="61" t="s">
        <v>189</v>
      </c>
      <c r="B49" s="67" t="s">
        <v>0</v>
      </c>
      <c r="C49" s="68">
        <v>9999999</v>
      </c>
      <c r="D49" s="66" t="s">
        <v>19</v>
      </c>
      <c r="E49" s="68">
        <v>18.149999999999999</v>
      </c>
      <c r="F49" s="68">
        <v>9999999</v>
      </c>
      <c r="G49" s="66" t="s">
        <v>19</v>
      </c>
      <c r="H49" s="68">
        <v>25.8</v>
      </c>
      <c r="I49" s="68">
        <v>9999999</v>
      </c>
      <c r="J49" s="66" t="s">
        <v>19</v>
      </c>
      <c r="K49" s="68">
        <v>18.149999999999999</v>
      </c>
      <c r="L49" s="68">
        <v>9999999</v>
      </c>
      <c r="M49" s="66" t="s">
        <v>19</v>
      </c>
      <c r="N49" s="68">
        <v>25.8</v>
      </c>
      <c r="O49" s="68">
        <v>9999999</v>
      </c>
      <c r="P49" s="66" t="s">
        <v>19</v>
      </c>
      <c r="Q49" s="68">
        <v>18.149999999999999</v>
      </c>
      <c r="R49" s="68">
        <v>9999999</v>
      </c>
      <c r="S49" s="66" t="s">
        <v>19</v>
      </c>
      <c r="T49" s="68">
        <v>25.8</v>
      </c>
    </row>
    <row r="50" spans="1:20" ht="18.75">
      <c r="A50" s="70" t="s">
        <v>192</v>
      </c>
      <c r="B50" s="71" t="s">
        <v>1</v>
      </c>
      <c r="C50" s="72">
        <v>2</v>
      </c>
      <c r="D50" s="73" t="s">
        <v>43</v>
      </c>
      <c r="E50" s="72"/>
      <c r="F50" s="72">
        <v>2</v>
      </c>
      <c r="G50" s="73" t="s">
        <v>43</v>
      </c>
      <c r="H50" s="72"/>
      <c r="I50" s="72">
        <v>2</v>
      </c>
      <c r="J50" s="73" t="s">
        <v>43</v>
      </c>
      <c r="K50" s="72"/>
      <c r="L50" s="72">
        <v>2</v>
      </c>
      <c r="M50" s="73" t="s">
        <v>43</v>
      </c>
      <c r="N50" s="72"/>
      <c r="O50" s="72">
        <v>2</v>
      </c>
      <c r="P50" s="73" t="s">
        <v>43</v>
      </c>
      <c r="Q50" s="72"/>
      <c r="R50" s="72">
        <v>2</v>
      </c>
      <c r="S50" s="73" t="s">
        <v>43</v>
      </c>
      <c r="T50" s="72"/>
    </row>
    <row r="51" spans="1:20" ht="18.75">
      <c r="A51" s="70" t="s">
        <v>192</v>
      </c>
      <c r="B51" s="92" t="s">
        <v>5</v>
      </c>
      <c r="C51" s="76">
        <v>3</v>
      </c>
      <c r="D51" s="76" t="s">
        <v>19</v>
      </c>
      <c r="E51" s="76">
        <v>6.1</v>
      </c>
      <c r="F51" s="76">
        <v>3</v>
      </c>
      <c r="G51" s="76" t="s">
        <v>19</v>
      </c>
      <c r="H51" s="76">
        <v>8.0500000000000007</v>
      </c>
      <c r="I51" s="76">
        <v>3</v>
      </c>
      <c r="J51" s="76" t="s">
        <v>19</v>
      </c>
      <c r="K51" s="76">
        <v>6.1</v>
      </c>
      <c r="L51" s="76">
        <v>3</v>
      </c>
      <c r="M51" s="76" t="s">
        <v>19</v>
      </c>
      <c r="N51" s="76">
        <v>8.0500000000000007</v>
      </c>
      <c r="O51" s="76">
        <v>3</v>
      </c>
      <c r="P51" s="76" t="s">
        <v>19</v>
      </c>
      <c r="Q51" s="76">
        <v>6.1</v>
      </c>
      <c r="R51" s="76">
        <v>3</v>
      </c>
      <c r="S51" s="76" t="s">
        <v>19</v>
      </c>
      <c r="T51" s="76">
        <v>8.0500000000000007</v>
      </c>
    </row>
    <row r="52" spans="1:20" ht="18.75">
      <c r="A52" s="70" t="s">
        <v>192</v>
      </c>
      <c r="B52" s="92" t="s">
        <v>7</v>
      </c>
      <c r="C52" s="76">
        <v>7</v>
      </c>
      <c r="D52" s="76" t="s">
        <v>19</v>
      </c>
      <c r="E52" s="76">
        <v>16.399999999999999</v>
      </c>
      <c r="F52" s="76">
        <v>7</v>
      </c>
      <c r="G52" s="76" t="s">
        <v>19</v>
      </c>
      <c r="H52" s="76">
        <v>20.75</v>
      </c>
      <c r="I52" s="76">
        <v>7</v>
      </c>
      <c r="J52" s="76" t="s">
        <v>19</v>
      </c>
      <c r="K52" s="76">
        <v>16.399999999999999</v>
      </c>
      <c r="L52" s="76">
        <v>7</v>
      </c>
      <c r="M52" s="76" t="s">
        <v>19</v>
      </c>
      <c r="N52" s="76">
        <v>20.75</v>
      </c>
      <c r="O52" s="76">
        <v>7</v>
      </c>
      <c r="P52" s="76" t="s">
        <v>19</v>
      </c>
      <c r="Q52" s="76">
        <v>16.399999999999999</v>
      </c>
      <c r="R52" s="76">
        <v>7</v>
      </c>
      <c r="S52" s="76" t="s">
        <v>19</v>
      </c>
      <c r="T52" s="76">
        <v>20.75</v>
      </c>
    </row>
    <row r="53" spans="1:20" ht="18.75">
      <c r="A53" s="70" t="s">
        <v>192</v>
      </c>
      <c r="B53" s="74" t="s">
        <v>0</v>
      </c>
      <c r="C53" s="68">
        <v>9999999</v>
      </c>
      <c r="D53" s="76" t="s">
        <v>19</v>
      </c>
      <c r="E53" s="75">
        <v>36.15</v>
      </c>
      <c r="F53" s="68">
        <v>9999999</v>
      </c>
      <c r="G53" s="76" t="s">
        <v>19</v>
      </c>
      <c r="H53" s="75">
        <v>51.45</v>
      </c>
      <c r="I53" s="68">
        <v>9999999</v>
      </c>
      <c r="J53" s="76" t="s">
        <v>19</v>
      </c>
      <c r="K53" s="75">
        <v>36.15</v>
      </c>
      <c r="L53" s="68">
        <v>9999999</v>
      </c>
      <c r="M53" s="76" t="s">
        <v>19</v>
      </c>
      <c r="N53" s="75">
        <v>51.45</v>
      </c>
      <c r="O53" s="68">
        <v>9999999</v>
      </c>
      <c r="P53" s="76" t="s">
        <v>19</v>
      </c>
      <c r="Q53" s="75">
        <v>36.15</v>
      </c>
      <c r="R53" s="68">
        <v>9999999</v>
      </c>
      <c r="S53" s="76" t="s">
        <v>19</v>
      </c>
      <c r="T53" s="75">
        <v>51.45</v>
      </c>
    </row>
    <row r="54" spans="1:20" ht="18.75">
      <c r="A54" s="61" t="s">
        <v>193</v>
      </c>
      <c r="B54" s="62" t="s">
        <v>1</v>
      </c>
      <c r="C54" s="63">
        <v>5</v>
      </c>
      <c r="D54" s="64" t="s">
        <v>43</v>
      </c>
      <c r="E54" s="63"/>
      <c r="F54" s="63">
        <v>5</v>
      </c>
      <c r="G54" s="64" t="s">
        <v>43</v>
      </c>
      <c r="H54" s="63"/>
      <c r="I54" s="63">
        <v>5</v>
      </c>
      <c r="J54" s="64" t="s">
        <v>43</v>
      </c>
      <c r="K54" s="63"/>
      <c r="L54" s="63">
        <v>5</v>
      </c>
      <c r="M54" s="64" t="s">
        <v>43</v>
      </c>
      <c r="N54" s="63"/>
      <c r="O54" s="63">
        <v>5</v>
      </c>
      <c r="P54" s="64" t="s">
        <v>43</v>
      </c>
      <c r="Q54" s="63"/>
      <c r="R54" s="63">
        <v>5</v>
      </c>
      <c r="S54" s="64" t="s">
        <v>43</v>
      </c>
      <c r="T54" s="63"/>
    </row>
    <row r="55" spans="1:20" ht="18.75">
      <c r="A55" s="61" t="s">
        <v>193</v>
      </c>
      <c r="B55" s="65" t="s">
        <v>5</v>
      </c>
      <c r="C55" s="66">
        <v>3</v>
      </c>
      <c r="D55" s="66" t="s">
        <v>19</v>
      </c>
      <c r="E55" s="66">
        <v>2.4</v>
      </c>
      <c r="F55" s="66">
        <v>3</v>
      </c>
      <c r="G55" s="66" t="s">
        <v>19</v>
      </c>
      <c r="H55" s="66">
        <v>3.6</v>
      </c>
      <c r="I55" s="66">
        <v>3</v>
      </c>
      <c r="J55" s="66" t="s">
        <v>19</v>
      </c>
      <c r="K55" s="66">
        <v>2.4</v>
      </c>
      <c r="L55" s="66">
        <v>3</v>
      </c>
      <c r="M55" s="66" t="s">
        <v>19</v>
      </c>
      <c r="N55" s="66">
        <v>3.6</v>
      </c>
      <c r="O55" s="66">
        <v>3</v>
      </c>
      <c r="P55" s="66" t="s">
        <v>19</v>
      </c>
      <c r="Q55" s="66">
        <v>2.4</v>
      </c>
      <c r="R55" s="66">
        <v>3</v>
      </c>
      <c r="S55" s="66" t="s">
        <v>19</v>
      </c>
      <c r="T55" s="66">
        <v>3.6</v>
      </c>
    </row>
    <row r="56" spans="1:20" ht="18.75">
      <c r="A56" s="61" t="s">
        <v>193</v>
      </c>
      <c r="B56" s="65" t="s">
        <v>7</v>
      </c>
      <c r="C56" s="66">
        <v>7</v>
      </c>
      <c r="D56" s="66" t="s">
        <v>19</v>
      </c>
      <c r="E56" s="66">
        <v>4.9000000000000004</v>
      </c>
      <c r="F56" s="66">
        <v>7</v>
      </c>
      <c r="G56" s="66" t="s">
        <v>19</v>
      </c>
      <c r="H56" s="66">
        <v>7</v>
      </c>
      <c r="I56" s="66">
        <v>7</v>
      </c>
      <c r="J56" s="66" t="s">
        <v>19</v>
      </c>
      <c r="K56" s="66">
        <v>4.9000000000000004</v>
      </c>
      <c r="L56" s="66">
        <v>7</v>
      </c>
      <c r="M56" s="66" t="s">
        <v>19</v>
      </c>
      <c r="N56" s="66">
        <v>7</v>
      </c>
      <c r="O56" s="66">
        <v>7</v>
      </c>
      <c r="P56" s="66" t="s">
        <v>19</v>
      </c>
      <c r="Q56" s="66">
        <v>4.9000000000000004</v>
      </c>
      <c r="R56" s="66">
        <v>7</v>
      </c>
      <c r="S56" s="66" t="s">
        <v>19</v>
      </c>
      <c r="T56" s="66">
        <v>7</v>
      </c>
    </row>
    <row r="57" spans="1:20" ht="18.75">
      <c r="A57" s="61" t="s">
        <v>193</v>
      </c>
      <c r="B57" s="67" t="s">
        <v>0</v>
      </c>
      <c r="C57" s="68">
        <v>9999999</v>
      </c>
      <c r="D57" s="66" t="s">
        <v>19</v>
      </c>
      <c r="E57" s="68">
        <v>9.1</v>
      </c>
      <c r="F57" s="68">
        <v>9999999</v>
      </c>
      <c r="G57" s="66" t="s">
        <v>19</v>
      </c>
      <c r="H57" s="68">
        <v>14.1</v>
      </c>
      <c r="I57" s="68">
        <v>9999999</v>
      </c>
      <c r="J57" s="66" t="s">
        <v>19</v>
      </c>
      <c r="K57" s="68">
        <v>9.1</v>
      </c>
      <c r="L57" s="68">
        <v>9999999</v>
      </c>
      <c r="M57" s="66" t="s">
        <v>19</v>
      </c>
      <c r="N57" s="68">
        <v>14.1</v>
      </c>
      <c r="O57" s="68">
        <v>9999999</v>
      </c>
      <c r="P57" s="66" t="s">
        <v>19</v>
      </c>
      <c r="Q57" s="68">
        <v>9.1</v>
      </c>
      <c r="R57" s="68">
        <v>9999999</v>
      </c>
      <c r="S57" s="66" t="s">
        <v>19</v>
      </c>
      <c r="T57" s="68">
        <v>14.1</v>
      </c>
    </row>
    <row r="58" spans="1:20" ht="18.75">
      <c r="A58" s="70" t="s">
        <v>195</v>
      </c>
      <c r="B58" s="71" t="s">
        <v>1</v>
      </c>
      <c r="C58" s="72">
        <v>2</v>
      </c>
      <c r="D58" s="73" t="s">
        <v>43</v>
      </c>
      <c r="E58" s="72"/>
      <c r="F58" s="72">
        <v>2</v>
      </c>
      <c r="G58" s="73" t="s">
        <v>43</v>
      </c>
      <c r="H58" s="72"/>
      <c r="I58" s="72">
        <v>2</v>
      </c>
      <c r="J58" s="73" t="s">
        <v>43</v>
      </c>
      <c r="K58" s="72"/>
      <c r="L58" s="72">
        <v>2</v>
      </c>
      <c r="M58" s="73" t="s">
        <v>43</v>
      </c>
      <c r="N58" s="72"/>
      <c r="O58" s="72">
        <v>2</v>
      </c>
      <c r="P58" s="73" t="s">
        <v>43</v>
      </c>
      <c r="Q58" s="72"/>
      <c r="R58" s="72">
        <v>2</v>
      </c>
      <c r="S58" s="73" t="s">
        <v>43</v>
      </c>
      <c r="T58" s="72"/>
    </row>
    <row r="59" spans="1:20" ht="18.75">
      <c r="A59" s="70" t="s">
        <v>195</v>
      </c>
      <c r="B59" s="92" t="s">
        <v>5</v>
      </c>
      <c r="C59" s="76">
        <v>3</v>
      </c>
      <c r="D59" s="76" t="s">
        <v>19</v>
      </c>
      <c r="E59" s="76">
        <v>4.5999999999999996</v>
      </c>
      <c r="F59" s="76">
        <v>3</v>
      </c>
      <c r="G59" s="76" t="s">
        <v>19</v>
      </c>
      <c r="H59" s="76">
        <v>7</v>
      </c>
      <c r="I59" s="76">
        <v>3</v>
      </c>
      <c r="J59" s="76" t="s">
        <v>19</v>
      </c>
      <c r="K59" s="76">
        <v>4.5999999999999996</v>
      </c>
      <c r="L59" s="76">
        <v>3</v>
      </c>
      <c r="M59" s="76" t="s">
        <v>19</v>
      </c>
      <c r="N59" s="76">
        <v>7</v>
      </c>
      <c r="O59" s="76">
        <v>3</v>
      </c>
      <c r="P59" s="76" t="s">
        <v>19</v>
      </c>
      <c r="Q59" s="76">
        <v>4.5999999999999996</v>
      </c>
      <c r="R59" s="76">
        <v>3</v>
      </c>
      <c r="S59" s="76" t="s">
        <v>19</v>
      </c>
      <c r="T59" s="76">
        <v>7</v>
      </c>
    </row>
    <row r="60" spans="1:20" ht="18.75">
      <c r="A60" s="70" t="s">
        <v>195</v>
      </c>
      <c r="B60" s="92" t="s">
        <v>7</v>
      </c>
      <c r="C60" s="76">
        <v>7</v>
      </c>
      <c r="D60" s="76" t="s">
        <v>19</v>
      </c>
      <c r="E60" s="76">
        <v>9.6999999999999993</v>
      </c>
      <c r="F60" s="76">
        <v>7</v>
      </c>
      <c r="G60" s="76" t="s">
        <v>19</v>
      </c>
      <c r="H60" s="76">
        <v>13.8</v>
      </c>
      <c r="I60" s="76">
        <v>7</v>
      </c>
      <c r="J60" s="76" t="s">
        <v>19</v>
      </c>
      <c r="K60" s="76">
        <v>9.6999999999999993</v>
      </c>
      <c r="L60" s="76">
        <v>7</v>
      </c>
      <c r="M60" s="76" t="s">
        <v>19</v>
      </c>
      <c r="N60" s="76">
        <v>13.8</v>
      </c>
      <c r="O60" s="76">
        <v>7</v>
      </c>
      <c r="P60" s="76" t="s">
        <v>19</v>
      </c>
      <c r="Q60" s="76">
        <v>9.6999999999999993</v>
      </c>
      <c r="R60" s="76">
        <v>7</v>
      </c>
      <c r="S60" s="76" t="s">
        <v>19</v>
      </c>
      <c r="T60" s="76">
        <v>13.8</v>
      </c>
    </row>
    <row r="61" spans="1:20" ht="18.75">
      <c r="A61" s="70" t="s">
        <v>195</v>
      </c>
      <c r="B61" s="74" t="s">
        <v>0</v>
      </c>
      <c r="C61" s="68">
        <v>9999999</v>
      </c>
      <c r="D61" s="76" t="s">
        <v>19</v>
      </c>
      <c r="E61" s="75">
        <v>18</v>
      </c>
      <c r="F61" s="68">
        <v>9999999</v>
      </c>
      <c r="G61" s="76" t="s">
        <v>19</v>
      </c>
      <c r="H61" s="75">
        <v>28</v>
      </c>
      <c r="I61" s="68">
        <v>9999999</v>
      </c>
      <c r="J61" s="76" t="s">
        <v>19</v>
      </c>
      <c r="K61" s="75">
        <v>18</v>
      </c>
      <c r="L61" s="68">
        <v>9999999</v>
      </c>
      <c r="M61" s="76" t="s">
        <v>19</v>
      </c>
      <c r="N61" s="75">
        <v>28</v>
      </c>
      <c r="O61" s="68">
        <v>9999999</v>
      </c>
      <c r="P61" s="76" t="s">
        <v>19</v>
      </c>
      <c r="Q61" s="75">
        <v>18</v>
      </c>
      <c r="R61" s="68">
        <v>9999999</v>
      </c>
      <c r="S61" s="76" t="s">
        <v>19</v>
      </c>
      <c r="T61" s="75">
        <v>28</v>
      </c>
    </row>
    <row r="62" spans="1:20" ht="18.75">
      <c r="A62" s="61" t="s">
        <v>209</v>
      </c>
      <c r="B62" s="62" t="s">
        <v>1</v>
      </c>
      <c r="C62" s="63">
        <v>7</v>
      </c>
      <c r="D62" s="64" t="s">
        <v>43</v>
      </c>
      <c r="E62" s="63"/>
      <c r="F62" s="63">
        <v>7</v>
      </c>
      <c r="G62" s="64" t="s">
        <v>43</v>
      </c>
      <c r="H62" s="63"/>
      <c r="I62" s="63">
        <v>7</v>
      </c>
      <c r="J62" s="64" t="s">
        <v>43</v>
      </c>
      <c r="K62" s="63"/>
      <c r="L62" s="63">
        <v>7</v>
      </c>
      <c r="M62" s="64" t="s">
        <v>43</v>
      </c>
      <c r="N62" s="63"/>
      <c r="O62" s="63">
        <v>7</v>
      </c>
      <c r="P62" s="64" t="s">
        <v>43</v>
      </c>
      <c r="Q62" s="63"/>
      <c r="R62" s="63">
        <v>7</v>
      </c>
      <c r="S62" s="64" t="s">
        <v>43</v>
      </c>
      <c r="T62" s="63"/>
    </row>
    <row r="63" spans="1:20" ht="18.75">
      <c r="A63" s="61" t="s">
        <v>209</v>
      </c>
      <c r="B63" s="65" t="s">
        <v>5</v>
      </c>
      <c r="C63" s="66">
        <v>8</v>
      </c>
      <c r="D63" s="66" t="s">
        <v>19</v>
      </c>
      <c r="E63" s="66">
        <v>2.65</v>
      </c>
      <c r="F63" s="66">
        <v>8</v>
      </c>
      <c r="G63" s="66" t="s">
        <v>19</v>
      </c>
      <c r="H63" s="66">
        <v>5.3</v>
      </c>
      <c r="I63" s="66">
        <v>8</v>
      </c>
      <c r="J63" s="66" t="s">
        <v>19</v>
      </c>
      <c r="K63" s="66">
        <v>2.65</v>
      </c>
      <c r="L63" s="66">
        <v>8</v>
      </c>
      <c r="M63" s="66" t="s">
        <v>19</v>
      </c>
      <c r="N63" s="66">
        <v>5.3</v>
      </c>
      <c r="O63" s="66">
        <v>8</v>
      </c>
      <c r="P63" s="66" t="s">
        <v>19</v>
      </c>
      <c r="Q63" s="66">
        <v>2.65</v>
      </c>
      <c r="R63" s="66">
        <v>8</v>
      </c>
      <c r="S63" s="66" t="s">
        <v>19</v>
      </c>
      <c r="T63" s="66">
        <v>5.3</v>
      </c>
    </row>
    <row r="64" spans="1:20" ht="18.75">
      <c r="A64" s="62" t="s">
        <v>209</v>
      </c>
      <c r="B64" s="65" t="s">
        <v>0</v>
      </c>
      <c r="C64" s="66">
        <v>9999999</v>
      </c>
      <c r="D64" s="66" t="s">
        <v>19</v>
      </c>
      <c r="E64" s="66">
        <v>5.3</v>
      </c>
      <c r="F64" s="66">
        <v>9999999</v>
      </c>
      <c r="G64" s="66" t="s">
        <v>19</v>
      </c>
      <c r="H64" s="66">
        <v>10.6</v>
      </c>
      <c r="I64" s="66">
        <v>9999999</v>
      </c>
      <c r="J64" s="66" t="s">
        <v>19</v>
      </c>
      <c r="K64" s="66">
        <v>5.3</v>
      </c>
      <c r="L64" s="66">
        <v>9999999</v>
      </c>
      <c r="M64" s="66" t="s">
        <v>19</v>
      </c>
      <c r="N64" s="66">
        <v>10.6</v>
      </c>
      <c r="O64" s="66">
        <v>9999999</v>
      </c>
      <c r="P64" s="66" t="s">
        <v>19</v>
      </c>
      <c r="Q64" s="66">
        <v>5.3</v>
      </c>
      <c r="R64" s="66">
        <v>9999999</v>
      </c>
      <c r="S64" s="66" t="s">
        <v>19</v>
      </c>
      <c r="T64" s="66">
        <v>10.6</v>
      </c>
    </row>
    <row r="65" spans="1:20" ht="18.75">
      <c r="A65" s="70" t="s">
        <v>208</v>
      </c>
      <c r="B65" s="71" t="s">
        <v>1</v>
      </c>
      <c r="C65" s="72">
        <v>7</v>
      </c>
      <c r="D65" s="72"/>
      <c r="E65" s="72"/>
      <c r="F65" s="72">
        <v>7</v>
      </c>
      <c r="G65" s="72"/>
      <c r="H65" s="72"/>
      <c r="I65" s="72">
        <v>7</v>
      </c>
      <c r="J65" s="72"/>
      <c r="K65" s="72"/>
      <c r="L65" s="72">
        <v>7</v>
      </c>
      <c r="M65" s="72"/>
      <c r="N65" s="72"/>
      <c r="O65" s="72">
        <v>7</v>
      </c>
      <c r="P65" s="72"/>
      <c r="Q65" s="72"/>
      <c r="R65" s="72">
        <v>7</v>
      </c>
      <c r="S65" s="72"/>
      <c r="T65" s="72"/>
    </row>
    <row r="66" spans="1:20" ht="18.75">
      <c r="A66" s="70" t="s">
        <v>208</v>
      </c>
      <c r="B66" s="74" t="s">
        <v>0</v>
      </c>
      <c r="C66" s="68">
        <v>9999999</v>
      </c>
      <c r="D66" s="75" t="s">
        <v>19</v>
      </c>
      <c r="E66" s="75">
        <v>1.25</v>
      </c>
      <c r="F66" s="68">
        <v>9999999</v>
      </c>
      <c r="G66" s="75" t="s">
        <v>19</v>
      </c>
      <c r="H66" s="75">
        <v>2.5</v>
      </c>
      <c r="I66" s="68">
        <v>9999999</v>
      </c>
      <c r="J66" s="75" t="s">
        <v>19</v>
      </c>
      <c r="K66" s="75">
        <v>1.25</v>
      </c>
      <c r="L66" s="68">
        <v>9999999</v>
      </c>
      <c r="M66" s="75" t="s">
        <v>19</v>
      </c>
      <c r="N66" s="75">
        <v>2.5</v>
      </c>
      <c r="O66" s="68">
        <v>9999999</v>
      </c>
      <c r="P66" s="75" t="s">
        <v>19</v>
      </c>
      <c r="Q66" s="75">
        <v>1.25</v>
      </c>
      <c r="R66" s="68">
        <v>9999999</v>
      </c>
      <c r="S66" s="75" t="s">
        <v>19</v>
      </c>
      <c r="T66" s="75">
        <v>2.5</v>
      </c>
    </row>
    <row r="67" spans="1:20" ht="18.75">
      <c r="A67" s="67" t="s">
        <v>182</v>
      </c>
      <c r="B67" s="65" t="s">
        <v>1</v>
      </c>
      <c r="C67" s="66">
        <v>5</v>
      </c>
      <c r="D67" s="93" t="s">
        <v>43</v>
      </c>
      <c r="E67" s="66"/>
      <c r="F67" s="66">
        <v>5</v>
      </c>
      <c r="G67" s="93" t="s">
        <v>43</v>
      </c>
      <c r="H67" s="66"/>
      <c r="I67" s="66">
        <v>5</v>
      </c>
      <c r="J67" s="93" t="s">
        <v>43</v>
      </c>
      <c r="K67" s="66"/>
      <c r="L67" s="66">
        <v>5</v>
      </c>
      <c r="M67" s="93" t="s">
        <v>43</v>
      </c>
      <c r="N67" s="66"/>
      <c r="O67" s="66">
        <v>3</v>
      </c>
      <c r="P67" s="93" t="s">
        <v>43</v>
      </c>
      <c r="Q67" s="66"/>
      <c r="R67" s="66">
        <v>3</v>
      </c>
      <c r="S67" s="93" t="s">
        <v>43</v>
      </c>
      <c r="T67" s="66"/>
    </row>
    <row r="68" spans="1:20" ht="18.75">
      <c r="A68" s="61" t="s">
        <v>182</v>
      </c>
      <c r="B68" s="65" t="s">
        <v>5</v>
      </c>
      <c r="C68" s="66">
        <v>5</v>
      </c>
      <c r="D68" s="66" t="s">
        <v>19</v>
      </c>
      <c r="E68" s="66">
        <v>30</v>
      </c>
      <c r="F68" s="66">
        <v>5</v>
      </c>
      <c r="G68" s="66" t="s">
        <v>19</v>
      </c>
      <c r="H68" s="66">
        <v>45</v>
      </c>
      <c r="I68" s="66">
        <v>5</v>
      </c>
      <c r="J68" s="66" t="s">
        <v>19</v>
      </c>
      <c r="K68" s="66">
        <v>30</v>
      </c>
      <c r="L68" s="66">
        <v>5</v>
      </c>
      <c r="M68" s="66" t="s">
        <v>19</v>
      </c>
      <c r="N68" s="66">
        <v>45</v>
      </c>
      <c r="O68" s="66">
        <v>3</v>
      </c>
      <c r="P68" s="66" t="s">
        <v>19</v>
      </c>
      <c r="Q68" s="66">
        <v>80</v>
      </c>
      <c r="R68" s="66">
        <v>3</v>
      </c>
      <c r="S68" s="66" t="s">
        <v>19</v>
      </c>
      <c r="T68" s="66">
        <v>90</v>
      </c>
    </row>
    <row r="69" spans="1:20" ht="18.75">
      <c r="A69" s="61" t="s">
        <v>182</v>
      </c>
      <c r="B69" s="65" t="s">
        <v>7</v>
      </c>
      <c r="C69" s="66">
        <v>10</v>
      </c>
      <c r="D69" s="66" t="s">
        <v>19</v>
      </c>
      <c r="E69" s="66">
        <v>40</v>
      </c>
      <c r="F69" s="66">
        <v>10</v>
      </c>
      <c r="G69" s="66" t="s">
        <v>19</v>
      </c>
      <c r="H69" s="66">
        <v>65</v>
      </c>
      <c r="I69" s="66">
        <v>10</v>
      </c>
      <c r="J69" s="66" t="s">
        <v>19</v>
      </c>
      <c r="K69" s="66">
        <v>40</v>
      </c>
      <c r="L69" s="66">
        <v>10</v>
      </c>
      <c r="M69" s="66" t="s">
        <v>19</v>
      </c>
      <c r="N69" s="66">
        <v>65</v>
      </c>
      <c r="O69" s="66"/>
      <c r="P69" s="66" t="s">
        <v>19</v>
      </c>
      <c r="Q69" s="66"/>
      <c r="R69" s="66"/>
      <c r="S69" s="66" t="s">
        <v>19</v>
      </c>
      <c r="T69" s="66"/>
    </row>
    <row r="70" spans="1:20" ht="18.75">
      <c r="A70" s="61" t="s">
        <v>182</v>
      </c>
      <c r="B70" s="67" t="s">
        <v>0</v>
      </c>
      <c r="C70" s="68">
        <v>9999999</v>
      </c>
      <c r="D70" s="66" t="s">
        <v>19</v>
      </c>
      <c r="E70" s="68">
        <v>70</v>
      </c>
      <c r="F70" s="68">
        <v>9999999</v>
      </c>
      <c r="G70" s="66" t="s">
        <v>19</v>
      </c>
      <c r="H70" s="68">
        <v>100</v>
      </c>
      <c r="I70" s="68">
        <v>9999999</v>
      </c>
      <c r="J70" s="66" t="s">
        <v>19</v>
      </c>
      <c r="K70" s="68">
        <v>70</v>
      </c>
      <c r="L70" s="68">
        <v>9999999</v>
      </c>
      <c r="M70" s="66" t="s">
        <v>19</v>
      </c>
      <c r="N70" s="68">
        <v>100</v>
      </c>
      <c r="O70" s="68">
        <v>9999999</v>
      </c>
      <c r="P70" s="66" t="s">
        <v>19</v>
      </c>
      <c r="Q70" s="68">
        <v>110</v>
      </c>
      <c r="R70" s="68">
        <v>9999999</v>
      </c>
      <c r="S70" s="66" t="s">
        <v>19</v>
      </c>
      <c r="T70" s="68">
        <v>140</v>
      </c>
    </row>
    <row r="71" spans="1:20" ht="18.75">
      <c r="A71" s="70" t="s">
        <v>190</v>
      </c>
      <c r="B71" s="71" t="s">
        <v>1</v>
      </c>
      <c r="C71" s="72">
        <v>5</v>
      </c>
      <c r="D71" s="73" t="s">
        <v>43</v>
      </c>
      <c r="E71" s="72"/>
      <c r="F71" s="72">
        <v>5</v>
      </c>
      <c r="G71" s="73" t="s">
        <v>43</v>
      </c>
      <c r="H71" s="72"/>
      <c r="I71" s="72">
        <v>5</v>
      </c>
      <c r="J71" s="73" t="s">
        <v>43</v>
      </c>
      <c r="K71" s="72"/>
      <c r="L71" s="72">
        <v>5</v>
      </c>
      <c r="M71" s="73" t="s">
        <v>43</v>
      </c>
      <c r="N71" s="72"/>
      <c r="O71" s="72">
        <v>3</v>
      </c>
      <c r="P71" s="73" t="s">
        <v>43</v>
      </c>
      <c r="Q71" s="72"/>
      <c r="R71" s="72">
        <v>3</v>
      </c>
      <c r="S71" s="73" t="s">
        <v>43</v>
      </c>
      <c r="T71" s="72"/>
    </row>
    <row r="72" spans="1:20" ht="18.75">
      <c r="A72" s="70" t="s">
        <v>190</v>
      </c>
      <c r="B72" s="92" t="s">
        <v>5</v>
      </c>
      <c r="C72" s="76">
        <v>5</v>
      </c>
      <c r="D72" s="76" t="s">
        <v>19</v>
      </c>
      <c r="E72" s="76">
        <v>30</v>
      </c>
      <c r="F72" s="76">
        <v>5</v>
      </c>
      <c r="G72" s="76" t="s">
        <v>19</v>
      </c>
      <c r="H72" s="76">
        <v>45</v>
      </c>
      <c r="I72" s="76">
        <v>5</v>
      </c>
      <c r="J72" s="76" t="s">
        <v>19</v>
      </c>
      <c r="K72" s="76">
        <v>30</v>
      </c>
      <c r="L72" s="76">
        <v>5</v>
      </c>
      <c r="M72" s="76" t="s">
        <v>19</v>
      </c>
      <c r="N72" s="76">
        <v>45</v>
      </c>
      <c r="O72" s="76">
        <v>3</v>
      </c>
      <c r="P72" s="76" t="s">
        <v>19</v>
      </c>
      <c r="Q72" s="76">
        <v>70</v>
      </c>
      <c r="R72" s="76">
        <v>3</v>
      </c>
      <c r="S72" s="76" t="s">
        <v>19</v>
      </c>
      <c r="T72" s="76">
        <v>80</v>
      </c>
    </row>
    <row r="73" spans="1:20" ht="18.75">
      <c r="A73" s="70" t="s">
        <v>190</v>
      </c>
      <c r="B73" s="92" t="s">
        <v>7</v>
      </c>
      <c r="C73" s="76">
        <v>10</v>
      </c>
      <c r="D73" s="76" t="s">
        <v>19</v>
      </c>
      <c r="E73" s="76">
        <v>40</v>
      </c>
      <c r="F73" s="76">
        <v>10</v>
      </c>
      <c r="G73" s="76" t="s">
        <v>19</v>
      </c>
      <c r="H73" s="76">
        <v>65</v>
      </c>
      <c r="I73" s="76">
        <v>10</v>
      </c>
      <c r="J73" s="76" t="s">
        <v>19</v>
      </c>
      <c r="K73" s="76">
        <v>40</v>
      </c>
      <c r="L73" s="76">
        <v>10</v>
      </c>
      <c r="M73" s="76" t="s">
        <v>19</v>
      </c>
      <c r="N73" s="76">
        <v>65</v>
      </c>
      <c r="O73" s="76"/>
      <c r="P73" s="76" t="s">
        <v>19</v>
      </c>
      <c r="Q73" s="76"/>
      <c r="R73" s="76"/>
      <c r="S73" s="76" t="s">
        <v>19</v>
      </c>
      <c r="T73" s="76"/>
    </row>
    <row r="74" spans="1:20" ht="18.75">
      <c r="A74" s="70" t="s">
        <v>190</v>
      </c>
      <c r="B74" s="74" t="s">
        <v>0</v>
      </c>
      <c r="C74" s="68">
        <v>9999999</v>
      </c>
      <c r="D74" s="76" t="s">
        <v>19</v>
      </c>
      <c r="E74" s="75">
        <v>70</v>
      </c>
      <c r="F74" s="68">
        <v>9999999</v>
      </c>
      <c r="G74" s="76" t="s">
        <v>19</v>
      </c>
      <c r="H74" s="75">
        <v>100</v>
      </c>
      <c r="I74" s="68">
        <v>9999999</v>
      </c>
      <c r="J74" s="76" t="s">
        <v>19</v>
      </c>
      <c r="K74" s="75">
        <v>70</v>
      </c>
      <c r="L74" s="68">
        <v>9999999</v>
      </c>
      <c r="M74" s="76" t="s">
        <v>19</v>
      </c>
      <c r="N74" s="75">
        <v>100</v>
      </c>
      <c r="O74" s="68">
        <v>9999999</v>
      </c>
      <c r="P74" s="76" t="s">
        <v>19</v>
      </c>
      <c r="Q74" s="75">
        <v>110</v>
      </c>
      <c r="R74" s="68">
        <v>9999999</v>
      </c>
      <c r="S74" s="76" t="s">
        <v>19</v>
      </c>
      <c r="T74" s="75">
        <v>140</v>
      </c>
    </row>
    <row r="75" spans="1:20" ht="18.75">
      <c r="A75" s="61" t="s">
        <v>183</v>
      </c>
      <c r="B75" s="62" t="s">
        <v>1</v>
      </c>
      <c r="C75" s="63"/>
      <c r="D75" s="64"/>
      <c r="E75" s="63"/>
      <c r="F75" s="63"/>
      <c r="G75" s="64"/>
      <c r="H75" s="63"/>
      <c r="I75" s="63"/>
      <c r="J75" s="64"/>
      <c r="K75" s="63"/>
      <c r="L75" s="63"/>
      <c r="M75" s="64"/>
      <c r="N75" s="63"/>
      <c r="O75" s="63">
        <v>1</v>
      </c>
      <c r="P75" s="64"/>
      <c r="Q75" s="63"/>
      <c r="R75" s="63">
        <v>1</v>
      </c>
      <c r="S75" s="64"/>
      <c r="T75" s="63"/>
    </row>
    <row r="76" spans="1:20" ht="18.75">
      <c r="A76" s="62" t="s">
        <v>183</v>
      </c>
      <c r="B76" s="65" t="s">
        <v>0</v>
      </c>
      <c r="C76" s="66">
        <v>9999999</v>
      </c>
      <c r="D76" s="66"/>
      <c r="E76" s="66"/>
      <c r="F76" s="66">
        <v>9999999</v>
      </c>
      <c r="G76" s="66"/>
      <c r="H76" s="66"/>
      <c r="I76" s="66">
        <v>9999999</v>
      </c>
      <c r="J76" s="66"/>
      <c r="K76" s="66"/>
      <c r="L76" s="66">
        <v>9999999</v>
      </c>
      <c r="M76" s="66"/>
      <c r="N76" s="66"/>
      <c r="O76" s="66">
        <v>9999999</v>
      </c>
      <c r="P76" s="66" t="s">
        <v>19</v>
      </c>
      <c r="Q76" s="66">
        <v>75</v>
      </c>
      <c r="R76" s="66">
        <v>9999999</v>
      </c>
      <c r="S76" s="66" t="s">
        <v>19</v>
      </c>
      <c r="T76" s="66">
        <v>75</v>
      </c>
    </row>
    <row r="77" spans="1:20" ht="18.75">
      <c r="A77" s="70" t="s">
        <v>214</v>
      </c>
      <c r="B77" s="71" t="s">
        <v>1</v>
      </c>
      <c r="C77" s="72"/>
      <c r="D77" s="72"/>
      <c r="E77" s="72"/>
      <c r="F77" s="72"/>
      <c r="G77" s="72"/>
      <c r="H77" s="72"/>
      <c r="I77" s="72"/>
      <c r="J77" s="72"/>
      <c r="K77" s="72"/>
      <c r="L77" s="72"/>
      <c r="M77" s="72"/>
      <c r="N77" s="72"/>
      <c r="O77" s="72">
        <v>1</v>
      </c>
      <c r="P77" s="72"/>
      <c r="Q77" s="72"/>
      <c r="R77" s="72">
        <v>1</v>
      </c>
      <c r="S77" s="72"/>
      <c r="T77" s="72"/>
    </row>
    <row r="78" spans="1:20" ht="18.75">
      <c r="A78" s="70" t="s">
        <v>214</v>
      </c>
      <c r="B78" s="74" t="s">
        <v>0</v>
      </c>
      <c r="C78" s="68">
        <v>9999999</v>
      </c>
      <c r="D78" s="75"/>
      <c r="E78" s="75"/>
      <c r="F78" s="68">
        <v>9999999</v>
      </c>
      <c r="G78" s="75"/>
      <c r="H78" s="75"/>
      <c r="I78" s="68">
        <v>9999999</v>
      </c>
      <c r="J78" s="75"/>
      <c r="K78" s="75"/>
      <c r="L78" s="68">
        <v>9999999</v>
      </c>
      <c r="M78" s="75"/>
      <c r="N78" s="75"/>
      <c r="O78" s="68">
        <v>9999999</v>
      </c>
      <c r="P78" s="75" t="s">
        <v>19</v>
      </c>
      <c r="Q78" s="75">
        <v>62</v>
      </c>
      <c r="R78" s="68">
        <v>9999999</v>
      </c>
      <c r="S78" s="75" t="s">
        <v>19</v>
      </c>
      <c r="T78" s="75">
        <v>62</v>
      </c>
    </row>
    <row r="79" spans="1:20" ht="18.75">
      <c r="A79" s="67" t="s">
        <v>191</v>
      </c>
      <c r="B79" s="65" t="s">
        <v>1</v>
      </c>
      <c r="C79" s="66"/>
      <c r="D79" s="93"/>
      <c r="E79" s="66"/>
      <c r="F79" s="66"/>
      <c r="G79" s="93"/>
      <c r="H79" s="66"/>
      <c r="I79" s="66"/>
      <c r="J79" s="93"/>
      <c r="K79" s="66"/>
      <c r="L79" s="66"/>
      <c r="M79" s="93"/>
      <c r="N79" s="66"/>
      <c r="O79" s="66">
        <v>1</v>
      </c>
      <c r="P79" s="93"/>
      <c r="Q79" s="66"/>
      <c r="R79" s="66">
        <v>1</v>
      </c>
      <c r="S79" s="93"/>
      <c r="T79" s="66"/>
    </row>
    <row r="80" spans="1:20" ht="18.75">
      <c r="A80" s="62" t="s">
        <v>191</v>
      </c>
      <c r="B80" s="65" t="s">
        <v>0</v>
      </c>
      <c r="C80" s="66">
        <v>9999999</v>
      </c>
      <c r="D80" s="66"/>
      <c r="E80" s="66"/>
      <c r="F80" s="66">
        <v>9999999</v>
      </c>
      <c r="G80" s="66"/>
      <c r="H80" s="66"/>
      <c r="I80" s="66">
        <v>9999999</v>
      </c>
      <c r="J80" s="66"/>
      <c r="K80" s="66"/>
      <c r="L80" s="66">
        <v>9999999</v>
      </c>
      <c r="M80" s="66"/>
      <c r="N80" s="66"/>
      <c r="O80" s="66">
        <v>9999999</v>
      </c>
      <c r="P80" s="66" t="s">
        <v>19</v>
      </c>
      <c r="Q80" s="66">
        <v>90</v>
      </c>
      <c r="R80" s="66">
        <v>9999999</v>
      </c>
      <c r="S80" s="66" t="s">
        <v>19</v>
      </c>
      <c r="T80" s="66">
        <v>120</v>
      </c>
    </row>
    <row r="81" spans="1:20" ht="18.75">
      <c r="A81" s="70" t="s">
        <v>201</v>
      </c>
      <c r="B81" s="71" t="s">
        <v>1</v>
      </c>
      <c r="C81" s="72"/>
      <c r="D81" s="72"/>
      <c r="E81" s="72"/>
      <c r="F81" s="72"/>
      <c r="G81" s="72"/>
      <c r="H81" s="72"/>
      <c r="I81" s="72"/>
      <c r="J81" s="72"/>
      <c r="K81" s="72"/>
      <c r="L81" s="72"/>
      <c r="M81" s="72"/>
      <c r="N81" s="72"/>
      <c r="O81" s="72">
        <v>1</v>
      </c>
      <c r="P81" s="72"/>
      <c r="Q81" s="72"/>
      <c r="R81" s="72">
        <v>1</v>
      </c>
      <c r="S81" s="72"/>
      <c r="T81" s="72"/>
    </row>
    <row r="82" spans="1:20" ht="18.75">
      <c r="A82" s="70" t="s">
        <v>201</v>
      </c>
      <c r="B82" s="74" t="s">
        <v>0</v>
      </c>
      <c r="C82" s="68">
        <v>9999999</v>
      </c>
      <c r="D82" s="75"/>
      <c r="E82" s="75"/>
      <c r="F82" s="68">
        <v>9999999</v>
      </c>
      <c r="G82" s="75"/>
      <c r="H82" s="75"/>
      <c r="I82" s="68">
        <v>9999999</v>
      </c>
      <c r="J82" s="75"/>
      <c r="K82" s="75"/>
      <c r="L82" s="68">
        <v>9999999</v>
      </c>
      <c r="M82" s="75"/>
      <c r="N82" s="75"/>
      <c r="O82" s="68">
        <v>9999999</v>
      </c>
      <c r="P82" s="75" t="s">
        <v>19</v>
      </c>
      <c r="Q82" s="75">
        <v>75</v>
      </c>
      <c r="R82" s="68">
        <v>9999999</v>
      </c>
      <c r="S82" s="75" t="s">
        <v>19</v>
      </c>
      <c r="T82" s="75">
        <v>75</v>
      </c>
    </row>
    <row r="83" spans="1:20">
      <c r="C83"/>
      <c r="D83"/>
      <c r="E83"/>
      <c r="F83"/>
      <c r="G83"/>
      <c r="H83"/>
      <c r="I83"/>
      <c r="J83"/>
      <c r="K83"/>
      <c r="L83"/>
      <c r="M83"/>
      <c r="N83"/>
    </row>
    <row r="84" spans="1:20">
      <c r="C84"/>
      <c r="D84"/>
      <c r="E84"/>
      <c r="F84"/>
      <c r="G84"/>
      <c r="H84"/>
      <c r="I84"/>
      <c r="J84"/>
      <c r="K84"/>
      <c r="L84"/>
      <c r="M84"/>
      <c r="N84"/>
    </row>
    <row r="85" spans="1:20">
      <c r="C85"/>
      <c r="D85"/>
      <c r="E85"/>
      <c r="F85"/>
      <c r="G85"/>
      <c r="H85"/>
      <c r="I85"/>
      <c r="J85"/>
      <c r="K85"/>
      <c r="L85"/>
      <c r="M85"/>
      <c r="N85"/>
    </row>
    <row r="86" spans="1:20">
      <c r="C86"/>
      <c r="D86"/>
      <c r="E86"/>
      <c r="F86"/>
      <c r="G86"/>
      <c r="H86"/>
      <c r="I86"/>
      <c r="J86"/>
      <c r="K86"/>
      <c r="L86"/>
      <c r="M86"/>
      <c r="N86"/>
    </row>
    <row r="87" spans="1:20">
      <c r="C87"/>
      <c r="D87"/>
      <c r="E87"/>
      <c r="F87"/>
      <c r="G87"/>
      <c r="H87"/>
      <c r="I87"/>
      <c r="J87"/>
      <c r="K87"/>
      <c r="L87"/>
      <c r="M87"/>
      <c r="N87"/>
    </row>
    <row r="88" spans="1:20">
      <c r="C88"/>
      <c r="D88"/>
      <c r="E88"/>
      <c r="F88"/>
      <c r="G88"/>
      <c r="H88"/>
      <c r="I88"/>
      <c r="J88"/>
      <c r="K88"/>
      <c r="L88"/>
      <c r="M88"/>
      <c r="N88"/>
    </row>
    <row r="89" spans="1:20">
      <c r="C89"/>
      <c r="D89"/>
      <c r="E89"/>
      <c r="F89"/>
      <c r="G89"/>
      <c r="H89"/>
      <c r="I89"/>
      <c r="J89"/>
      <c r="K89"/>
      <c r="L89"/>
      <c r="M89"/>
      <c r="N89"/>
    </row>
    <row r="90" spans="1:20">
      <c r="C90"/>
      <c r="D90"/>
      <c r="E90"/>
      <c r="F90"/>
      <c r="G90"/>
      <c r="H90"/>
      <c r="I90"/>
      <c r="J90"/>
      <c r="K90"/>
      <c r="L90"/>
      <c r="M90"/>
      <c r="N90"/>
    </row>
    <row r="91" spans="1:20">
      <c r="C91"/>
      <c r="D91"/>
      <c r="E91"/>
      <c r="F91"/>
      <c r="G91"/>
      <c r="H91"/>
      <c r="I91"/>
      <c r="J91"/>
      <c r="K91"/>
      <c r="L91"/>
      <c r="M91"/>
      <c r="N91"/>
    </row>
    <row r="92" spans="1:20">
      <c r="C92"/>
      <c r="D92"/>
      <c r="E92"/>
      <c r="F92"/>
      <c r="G92"/>
      <c r="H92"/>
      <c r="I92"/>
      <c r="J92"/>
      <c r="K92"/>
      <c r="L92"/>
      <c r="M92"/>
      <c r="N92"/>
    </row>
    <row r="93" spans="1:20">
      <c r="C93"/>
      <c r="D93"/>
      <c r="E93"/>
      <c r="F93"/>
      <c r="G93"/>
      <c r="H93"/>
      <c r="I93"/>
      <c r="J93"/>
      <c r="K93"/>
      <c r="L93"/>
      <c r="M93"/>
      <c r="N93"/>
    </row>
    <row r="94" spans="1:20">
      <c r="C94"/>
      <c r="D94"/>
      <c r="E94"/>
      <c r="F94"/>
      <c r="G94"/>
      <c r="H94"/>
      <c r="I94"/>
      <c r="J94"/>
      <c r="K94"/>
      <c r="L94"/>
      <c r="M94"/>
      <c r="N94"/>
    </row>
    <row r="95" spans="1:20">
      <c r="C95"/>
      <c r="D95"/>
      <c r="E95"/>
      <c r="F95"/>
      <c r="G95"/>
      <c r="H95"/>
      <c r="I95"/>
      <c r="J95"/>
      <c r="K95"/>
      <c r="L95"/>
      <c r="M95"/>
      <c r="N95"/>
    </row>
    <row r="96" spans="1:20">
      <c r="C96"/>
      <c r="D96"/>
      <c r="E96"/>
      <c r="F96"/>
      <c r="G96"/>
      <c r="H96"/>
      <c r="I96"/>
      <c r="J96"/>
      <c r="K96"/>
      <c r="L96"/>
      <c r="M96"/>
      <c r="N96"/>
    </row>
    <row r="97" spans="3:14">
      <c r="C97"/>
      <c r="D97"/>
      <c r="E97"/>
      <c r="F97"/>
      <c r="G97"/>
      <c r="H97"/>
      <c r="I97"/>
      <c r="J97"/>
      <c r="K97"/>
      <c r="L97"/>
      <c r="M97"/>
      <c r="N97"/>
    </row>
    <row r="98" spans="3:14">
      <c r="C98"/>
      <c r="D98"/>
      <c r="E98"/>
      <c r="F98"/>
      <c r="G98"/>
      <c r="H98"/>
      <c r="I98"/>
      <c r="J98"/>
      <c r="K98"/>
      <c r="L98"/>
      <c r="M98"/>
      <c r="N98"/>
    </row>
    <row r="99" spans="3:14">
      <c r="C99"/>
      <c r="D99"/>
      <c r="E99"/>
      <c r="F99"/>
      <c r="G99"/>
      <c r="H99"/>
      <c r="I99"/>
      <c r="J99"/>
      <c r="K99"/>
      <c r="L99"/>
      <c r="M99"/>
      <c r="N99"/>
    </row>
    <row r="100" spans="3:14">
      <c r="C100"/>
      <c r="D100"/>
      <c r="E100"/>
      <c r="F100"/>
      <c r="G100"/>
      <c r="H100"/>
      <c r="I100"/>
      <c r="J100"/>
      <c r="K100"/>
      <c r="L100"/>
      <c r="M100"/>
      <c r="N100"/>
    </row>
    <row r="101" spans="3:14">
      <c r="C101"/>
      <c r="D101"/>
      <c r="E101"/>
      <c r="F101"/>
      <c r="G101"/>
      <c r="H101"/>
      <c r="I101"/>
      <c r="J101"/>
      <c r="K101"/>
      <c r="L101"/>
      <c r="M101"/>
      <c r="N101"/>
    </row>
    <row r="102" spans="3:14">
      <c r="C102"/>
      <c r="D102"/>
      <c r="E102"/>
      <c r="F102"/>
      <c r="G102"/>
      <c r="H102"/>
      <c r="I102"/>
      <c r="J102"/>
      <c r="K102"/>
      <c r="L102"/>
      <c r="M102"/>
      <c r="N102"/>
    </row>
    <row r="103" spans="3:14">
      <c r="C103"/>
      <c r="D103"/>
      <c r="E103"/>
      <c r="F103"/>
      <c r="G103"/>
      <c r="H103"/>
      <c r="I103"/>
      <c r="J103"/>
      <c r="K103"/>
      <c r="L103"/>
      <c r="M103"/>
      <c r="N103"/>
    </row>
    <row r="104" spans="3:14">
      <c r="C104"/>
      <c r="D104"/>
      <c r="E104"/>
      <c r="F104"/>
      <c r="G104"/>
      <c r="H104"/>
      <c r="I104"/>
      <c r="J104"/>
      <c r="K104"/>
      <c r="L104"/>
      <c r="M104"/>
      <c r="N104"/>
    </row>
    <row r="105" spans="3:14">
      <c r="C105"/>
      <c r="D105"/>
      <c r="E105"/>
      <c r="F105"/>
      <c r="G105"/>
      <c r="H105"/>
      <c r="I105"/>
      <c r="J105"/>
      <c r="K105"/>
      <c r="L105"/>
      <c r="M105"/>
      <c r="N105"/>
    </row>
    <row r="106" spans="3:14">
      <c r="C106"/>
      <c r="D106"/>
      <c r="E106"/>
      <c r="F106"/>
      <c r="G106"/>
      <c r="H106"/>
      <c r="I106"/>
      <c r="J106"/>
      <c r="K106"/>
      <c r="L106"/>
      <c r="M106"/>
      <c r="N106"/>
    </row>
    <row r="107" spans="3:14">
      <c r="C107"/>
      <c r="D107"/>
      <c r="E107"/>
      <c r="F107"/>
      <c r="G107"/>
      <c r="H107"/>
      <c r="I107"/>
      <c r="J107"/>
      <c r="K107"/>
      <c r="L107"/>
      <c r="M107"/>
      <c r="N107"/>
    </row>
    <row r="108" spans="3:14">
      <c r="C108"/>
      <c r="D108"/>
      <c r="E108"/>
      <c r="F108"/>
      <c r="G108"/>
      <c r="H108"/>
      <c r="I108"/>
      <c r="J108"/>
      <c r="K108"/>
      <c r="L108"/>
      <c r="M108"/>
      <c r="N108"/>
    </row>
    <row r="109" spans="3:14">
      <c r="C109"/>
      <c r="D109"/>
      <c r="E109"/>
      <c r="F109"/>
      <c r="G109"/>
      <c r="H109"/>
      <c r="I109"/>
      <c r="J109"/>
      <c r="K109"/>
      <c r="L109"/>
      <c r="M109"/>
      <c r="N109"/>
    </row>
    <row r="110" spans="3:14">
      <c r="C110"/>
      <c r="D110"/>
      <c r="E110"/>
      <c r="F110"/>
      <c r="G110"/>
      <c r="H110"/>
      <c r="I110"/>
      <c r="J110"/>
      <c r="K110"/>
      <c r="L110"/>
      <c r="M110"/>
      <c r="N110"/>
    </row>
    <row r="111" spans="3:14">
      <c r="C111"/>
      <c r="D111"/>
      <c r="E111"/>
      <c r="F111"/>
      <c r="G111"/>
      <c r="H111"/>
      <c r="I111"/>
      <c r="J111"/>
      <c r="K111"/>
      <c r="L111"/>
      <c r="M111"/>
      <c r="N111"/>
    </row>
    <row r="112" spans="3:14">
      <c r="C112"/>
      <c r="D112"/>
      <c r="E112"/>
      <c r="F112"/>
      <c r="G112"/>
      <c r="H112"/>
      <c r="I112"/>
      <c r="J112"/>
      <c r="K112"/>
      <c r="L112"/>
      <c r="M112"/>
      <c r="N112"/>
    </row>
    <row r="113" spans="3:14">
      <c r="C113"/>
      <c r="D113"/>
      <c r="E113"/>
      <c r="F113"/>
      <c r="G113"/>
      <c r="H113"/>
      <c r="I113"/>
      <c r="J113"/>
      <c r="K113"/>
      <c r="L113"/>
      <c r="M113"/>
      <c r="N113"/>
    </row>
    <row r="114" spans="3:14">
      <c r="C114"/>
      <c r="D114"/>
      <c r="E114"/>
      <c r="F114"/>
      <c r="G114"/>
      <c r="H114"/>
      <c r="I114"/>
      <c r="J114"/>
      <c r="K114"/>
      <c r="L114"/>
      <c r="M114"/>
      <c r="N114"/>
    </row>
    <row r="115" spans="3:14">
      <c r="C115"/>
      <c r="D115"/>
      <c r="E115"/>
      <c r="F115"/>
      <c r="G115"/>
      <c r="H115"/>
      <c r="I115"/>
      <c r="J115"/>
      <c r="K115"/>
      <c r="L115"/>
      <c r="M115"/>
      <c r="N115"/>
    </row>
    <row r="116" spans="3:14">
      <c r="C116"/>
      <c r="D116"/>
      <c r="E116"/>
      <c r="F116"/>
      <c r="G116"/>
      <c r="H116"/>
      <c r="I116"/>
      <c r="J116"/>
      <c r="K116"/>
      <c r="L116"/>
      <c r="M116"/>
      <c r="N116"/>
    </row>
    <row r="117" spans="3:14">
      <c r="C117"/>
      <c r="D117"/>
      <c r="E117"/>
      <c r="F117"/>
      <c r="G117"/>
      <c r="H117"/>
      <c r="I117"/>
      <c r="J117"/>
      <c r="K117"/>
      <c r="L117"/>
      <c r="M117"/>
      <c r="N117"/>
    </row>
  </sheetData>
  <sheetProtection algorithmName="SHA-512" hashValue="0F6wkatDgNFEqU/ky0Bs6UFCO0H6HyKmedcZzbUJfABuOt6t1f+NsJONTKGjt2f5zLmoXYL8d2EvU/Ua2Qpikw==" saltValue="HhVjRWUdsZ7cPH0Qgnu2Jg==" spinCount="100000" sheet="1" formatCells="0" formatColumns="0" formatRows="0" insertColumns="0" insertRows="0" insertHyperlinks="0" deleteColumns="0" deleteRows="0" sort="0" autoFilter="0" pivotTables="0"/>
  <autoFilter ref="A2:N117" xr:uid="{00000000-0009-0000-0000-000001000000}"/>
  <conditionalFormatting sqref="C4 F4 I4 L4 O4 R4">
    <cfRule type="expression" dxfId="5" priority="64">
      <formula>C4=9999999</formula>
    </cfRule>
  </conditionalFormatting>
  <conditionalFormatting sqref="C71:N73 C83:N1048576">
    <cfRule type="expression" dxfId="4" priority="107">
      <formula>C71=9999999</formula>
    </cfRule>
  </conditionalFormatting>
  <conditionalFormatting sqref="C74:O74">
    <cfRule type="expression" dxfId="3" priority="33">
      <formula>C74=9999999</formula>
    </cfRule>
  </conditionalFormatting>
  <conditionalFormatting sqref="C1:T70">
    <cfRule type="expression" dxfId="2" priority="39">
      <formula>C1=9999999</formula>
    </cfRule>
  </conditionalFormatting>
  <conditionalFormatting sqref="C75:T82">
    <cfRule type="expression" dxfId="1" priority="1">
      <formula>C75=9999999</formula>
    </cfRule>
  </conditionalFormatting>
  <conditionalFormatting sqref="R74">
    <cfRule type="expression" dxfId="0" priority="38">
      <formula>R74=9999999</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7B47A-FCA7-42E6-8074-59D29BBAB56E}">
  <sheetPr codeName="Sheet5"/>
  <dimension ref="A1:G21"/>
  <sheetViews>
    <sheetView showGridLines="0" workbookViewId="0">
      <selection activeCell="C6" sqref="C6:C9"/>
    </sheetView>
  </sheetViews>
  <sheetFormatPr defaultRowHeight="15"/>
  <cols>
    <col min="1" max="1" width="37.5703125" customWidth="1"/>
    <col min="3" max="3" width="37.5703125" customWidth="1"/>
    <col min="5" max="5" width="37.5703125" customWidth="1"/>
    <col min="7" max="7" width="37.5703125" customWidth="1"/>
  </cols>
  <sheetData>
    <row r="1" spans="1:7" ht="17.25" customHeight="1">
      <c r="A1" s="428"/>
      <c r="C1" s="428"/>
      <c r="E1" s="428"/>
      <c r="G1" s="428"/>
    </row>
    <row r="2" spans="1:7" ht="17.25" customHeight="1">
      <c r="A2" s="428"/>
      <c r="C2" s="428"/>
      <c r="E2" s="428"/>
      <c r="G2" s="428"/>
    </row>
    <row r="3" spans="1:7" ht="17.25" customHeight="1">
      <c r="A3" s="428"/>
      <c r="C3" s="428"/>
      <c r="E3" s="428"/>
      <c r="G3" s="428"/>
    </row>
    <row r="4" spans="1:7" ht="17.25" customHeight="1">
      <c r="A4" s="428"/>
      <c r="C4" s="428"/>
      <c r="E4" s="428"/>
      <c r="G4" s="428"/>
    </row>
    <row r="6" spans="1:7">
      <c r="A6" s="429"/>
      <c r="C6" s="428"/>
      <c r="E6" s="429"/>
      <c r="G6" s="429"/>
    </row>
    <row r="7" spans="1:7">
      <c r="A7" s="429"/>
      <c r="C7" s="428"/>
      <c r="E7" s="429"/>
      <c r="G7" s="429"/>
    </row>
    <row r="8" spans="1:7">
      <c r="A8" s="429"/>
      <c r="C8" s="428"/>
      <c r="E8" s="429"/>
      <c r="G8" s="429"/>
    </row>
    <row r="9" spans="1:7">
      <c r="A9" s="429"/>
      <c r="C9" s="428"/>
      <c r="E9" s="429"/>
      <c r="G9" s="429"/>
    </row>
    <row r="10" spans="1:7">
      <c r="A10" s="44"/>
      <c r="C10" s="44"/>
      <c r="E10" s="44"/>
      <c r="G10" s="44"/>
    </row>
    <row r="12" spans="1:7">
      <c r="C12" s="428"/>
      <c r="E12" s="428"/>
    </row>
    <row r="13" spans="1:7">
      <c r="C13" s="428"/>
      <c r="E13" s="428"/>
    </row>
    <row r="14" spans="1:7">
      <c r="C14" s="428"/>
      <c r="E14" s="428"/>
    </row>
    <row r="15" spans="1:7">
      <c r="C15" s="428"/>
      <c r="E15" s="428"/>
    </row>
    <row r="18" spans="3:5">
      <c r="C18" s="428"/>
      <c r="E18" s="428"/>
    </row>
    <row r="19" spans="3:5">
      <c r="C19" s="428"/>
      <c r="E19" s="428"/>
    </row>
    <row r="20" spans="3:5">
      <c r="C20" s="428"/>
      <c r="E20" s="428"/>
    </row>
    <row r="21" spans="3:5">
      <c r="C21" s="428"/>
      <c r="E21" s="428"/>
    </row>
  </sheetData>
  <mergeCells count="12">
    <mergeCell ref="C12:C15"/>
    <mergeCell ref="C18:C21"/>
    <mergeCell ref="G1:G4"/>
    <mergeCell ref="G6:G9"/>
    <mergeCell ref="A1:A4"/>
    <mergeCell ref="A6:A9"/>
    <mergeCell ref="C1:C4"/>
    <mergeCell ref="C6:C9"/>
    <mergeCell ref="E1:E4"/>
    <mergeCell ref="E6:E9"/>
    <mergeCell ref="E12:E15"/>
    <mergeCell ref="E18:E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sheetPr>
  <dimension ref="A1:AF763"/>
  <sheetViews>
    <sheetView showGridLines="0" zoomScale="90" zoomScaleNormal="90" workbookViewId="0">
      <selection activeCell="E23" sqref="E23"/>
    </sheetView>
  </sheetViews>
  <sheetFormatPr defaultColWidth="8.85546875" defaultRowHeight="14.25"/>
  <cols>
    <col min="1" max="1" width="9.5703125" style="2" customWidth="1"/>
    <col min="2" max="2" width="36.7109375" style="2" bestFit="1" customWidth="1"/>
    <col min="3" max="20" width="25.7109375" style="2" customWidth="1"/>
    <col min="21" max="21" width="8.85546875" style="31"/>
    <col min="22" max="22" width="15.7109375" style="32" bestFit="1" customWidth="1"/>
    <col min="23" max="23" width="22.5703125" style="32" customWidth="1"/>
    <col min="24" max="24" width="12.28515625" style="32" bestFit="1" customWidth="1"/>
    <col min="25" max="25" width="8.85546875" style="32"/>
    <col min="26" max="16384" width="8.85546875" style="31"/>
  </cols>
  <sheetData>
    <row r="1" spans="2:32" ht="14.25" customHeight="1">
      <c r="B1" s="430" t="s">
        <v>220</v>
      </c>
      <c r="C1" s="430"/>
      <c r="D1" s="430"/>
      <c r="E1" s="430"/>
      <c r="F1" s="430"/>
      <c r="G1" s="430"/>
      <c r="H1" s="430"/>
      <c r="I1" s="430"/>
    </row>
    <row r="2" spans="2:32" ht="14.25" customHeight="1">
      <c r="B2" s="430"/>
      <c r="C2" s="430"/>
      <c r="D2" s="430"/>
      <c r="E2" s="430"/>
      <c r="F2" s="430"/>
      <c r="G2" s="430"/>
      <c r="H2" s="430"/>
      <c r="I2" s="430"/>
    </row>
    <row r="3" spans="2:32" ht="14.25" customHeight="1">
      <c r="B3" s="430"/>
      <c r="C3" s="430"/>
      <c r="D3" s="430"/>
      <c r="E3" s="430"/>
      <c r="F3" s="430"/>
      <c r="G3" s="430"/>
      <c r="H3" s="430"/>
      <c r="I3" s="430"/>
    </row>
    <row r="4" spans="2:32" ht="14.25" customHeight="1">
      <c r="B4" s="159"/>
      <c r="C4" s="431" t="s">
        <v>222</v>
      </c>
      <c r="D4" s="431"/>
      <c r="E4" s="431"/>
      <c r="F4" s="431"/>
      <c r="G4" s="431"/>
      <c r="H4" s="431"/>
      <c r="I4" s="159"/>
    </row>
    <row r="5" spans="2:32" ht="14.25" customHeight="1">
      <c r="B5" s="159"/>
      <c r="C5" s="431"/>
      <c r="D5" s="431"/>
      <c r="E5" s="431"/>
      <c r="F5" s="431"/>
      <c r="G5" s="431"/>
      <c r="H5" s="431"/>
      <c r="I5" s="159"/>
    </row>
    <row r="7" spans="2:32" ht="15" customHeight="1">
      <c r="B7" s="43"/>
      <c r="C7" s="55" t="s">
        <v>341</v>
      </c>
      <c r="F7" s="439" t="s">
        <v>132</v>
      </c>
      <c r="G7" s="440"/>
      <c r="H7" s="440"/>
      <c r="I7" s="441"/>
    </row>
    <row r="8" spans="2:32" ht="15">
      <c r="C8" s="408" t="s">
        <v>340</v>
      </c>
      <c r="F8" s="404"/>
      <c r="G8" s="405"/>
      <c r="H8" s="405"/>
      <c r="I8" s="406"/>
    </row>
    <row r="9" spans="2:32" ht="30.75" customHeight="1">
      <c r="B9" s="28" t="s">
        <v>65</v>
      </c>
      <c r="C9" s="219" t="s">
        <v>239</v>
      </c>
      <c r="D9" s="30"/>
      <c r="F9" s="442" t="s">
        <v>236</v>
      </c>
      <c r="G9" s="442"/>
      <c r="H9" s="204" t="str">
        <f>IFERROR(IF($C$27&lt;0,0,$C$27),"Please fill the yellow boxes correctly !")</f>
        <v>Please fill the yellow boxes correctly !</v>
      </c>
      <c r="I9" s="41" t="str">
        <f>IFERROR(G36,"not valid")</f>
        <v>not valid</v>
      </c>
    </row>
    <row r="10" spans="2:32" ht="30.75" customHeight="1">
      <c r="B10" s="28" t="s">
        <v>60</v>
      </c>
      <c r="C10" s="220" t="s">
        <v>239</v>
      </c>
      <c r="D10" s="30"/>
      <c r="F10" s="442" t="s">
        <v>237</v>
      </c>
      <c r="G10" s="442"/>
      <c r="H10" s="205" t="str">
        <f>IF(C15=0,"----",
     IF($H$9="Please fill the yellow boxes correctly !","Please fill the yellow boxes correctly !",$C$28))</f>
        <v>----</v>
      </c>
      <c r="I10" s="41" t="str">
        <f>IFERROR(G36,"not valid")</f>
        <v>not valid</v>
      </c>
    </row>
    <row r="11" spans="2:32" ht="30.75" customHeight="1">
      <c r="B11" s="42" t="s">
        <v>124</v>
      </c>
      <c r="C11" s="221" t="s">
        <v>239</v>
      </c>
      <c r="D11" s="30"/>
      <c r="F11" s="407"/>
      <c r="G11" s="407"/>
      <c r="H11" s="407"/>
      <c r="I11" s="407"/>
    </row>
    <row r="12" spans="2:32" ht="30.75" customHeight="1">
      <c r="B12" s="28" t="s">
        <v>64</v>
      </c>
      <c r="C12" s="221" t="s">
        <v>239</v>
      </c>
      <c r="D12" s="30"/>
      <c r="F12" s="445" t="s">
        <v>339</v>
      </c>
      <c r="G12" s="446"/>
      <c r="H12" s="446"/>
      <c r="I12" s="447"/>
    </row>
    <row r="13" spans="2:32" ht="30.75" customHeight="1">
      <c r="B13" s="28" t="s">
        <v>66</v>
      </c>
      <c r="C13" s="29">
        <f>IF(C11="&lt;make selection&gt;",0,IF(C12-C11+1&lt;0,0,C12-C11+1))</f>
        <v>0</v>
      </c>
      <c r="D13" s="30"/>
      <c r="F13" s="434" t="str">
        <f>IF(C13-C14&lt;11, C13-C14&amp;" days of ADFT cost in case purchasing (max 10 days):", "10 days of ADFT cost in case purchasing (max 10 days):")</f>
        <v>0 days of ADFT cost in case purchasing (max 10 days):</v>
      </c>
      <c r="G13" s="435"/>
      <c r="H13" s="29" t="str">
        <f>IFERROR(
IF(AND(RIGHT($C$10,7)="General",COUNTIF($C$9,"Italy Dmr*")&lt;&gt;1,COUNTIF($C$9,"Slovenia DEM*")&lt;&gt;1),
IFERROR(
IF(AND($C$13&gt;($C$14+$C$15),OR($C$10=$V$33,$C$10=$V$34)),
IF($C$13-($C$14+$C$15)&gt;10,
INT(IF($C$10=$V$33,
INDEX(Table2[20'#],MATCH(TRUE,Table2[Column1],0)),
INDEX(Table2[40'#],MATCH(TRUE,Table2[Column1],0))))*10,
INT(IF($C$10=$V$33,
INDEX(Table2[20'#],MATCH(TRUE,Table2[Column1],0)),
INDEX(Table2[40'#],MATCH(TRUE,Table2[Column1],0))))*($C$13-($C$14+$C$15))),"0"),
IF($C$13-($C$14+$C$15)&gt;10,
25*10,
25*($C$13-($C$14+$C$15)))),"not valid"),"not valid")</f>
        <v>not valid</v>
      </c>
      <c r="I13" s="41" t="s">
        <v>6</v>
      </c>
      <c r="K13" s="209" t="s">
        <v>250</v>
      </c>
    </row>
    <row r="14" spans="2:32" ht="30.75" customHeight="1">
      <c r="B14" s="28" t="s">
        <v>240</v>
      </c>
      <c r="C14" s="45">
        <f>IFERROR($C$35, 0)</f>
        <v>0</v>
      </c>
      <c r="D14" s="30"/>
      <c r="F14" s="434" t="s">
        <v>323</v>
      </c>
      <c r="G14" s="435"/>
      <c r="H14" s="40" t="str">
        <f xml:space="preserve">
IFERROR(
IF(H13="not valid","not valid",
  IF(AND(RIGHT($C$10,7)="General",$I$10="EUR",$H$13&lt;&gt;"not valid"),
    IF($C$13-($C$14+$C$15)&gt;10,
      IF($C$10=$V$33, ($C$13-($C$14+$C$15)-10)*$E$39+$H$13*K14, ($C$13-($C$14+$C$15)-10)*$H$39+$H$13*K14),
      IF(MIN($H$9:$H$10)-$H$13*K14&gt;0, $H$13*K14, (MIN($H$9:$H$10)-$H$13*K14))),
    IF(AND(RIGHT($C$10,7)="General",I10&lt;&gt;"EUR"),
      IF($C$13-($C$14+$C$15)&gt;10,
        IF($C$10=$V$33, ($C$13-($C$14+$C$15)-10)*$E$39+$H$13*K14, ($C$13-($C$14+$C$15)-10)*$H$39+$H$13*K14),
        IF(MIN($H$9:$H$10)-$H$13*K14&gt;0, $H$13*K14, MIN($H$9:$H$10)-$H$13*K14)),
      "not valid"))),
"not valid")</f>
        <v>not valid</v>
      </c>
      <c r="I14" s="41" t="str">
        <f>I10</f>
        <v>not valid</v>
      </c>
      <c r="K14" s="220">
        <v>1</v>
      </c>
    </row>
    <row r="15" spans="2:32" ht="30.75" customHeight="1">
      <c r="B15" s="42" t="s">
        <v>241</v>
      </c>
      <c r="C15" s="220">
        <v>0</v>
      </c>
      <c r="D15" s="30"/>
      <c r="F15" s="432" t="str">
        <f xml:space="preserve">
IF(H14&gt;MIN(H9:H10),
"Amount Lost in case purchasing ADFT (~):",
"Amount Saved in case purchasing ADFT (~):")</f>
        <v>Amount Lost in case purchasing ADFT (~):</v>
      </c>
      <c r="G15" s="433"/>
      <c r="H15" s="389" t="str">
        <f>IFERROR(
IF($C$13-($C$14+$C$15)&gt;10,
  IF(MIN($H$9:$H$10)-$H$14&gt;0,
    ""&amp;TEXT(MIN($H$9:$H$10)-$H$14,"0"),
    MIN($H$9:$H$10)-$H$14),""),"")</f>
        <v/>
      </c>
      <c r="I15" s="390" t="str">
        <f>IF(H15="","",I14)</f>
        <v/>
      </c>
    </row>
    <row r="16" spans="2:32" s="2" customFormat="1" ht="30.75" hidden="1" customHeight="1">
      <c r="F16" s="443" t="str">
        <f>IF(
OR(
$H$14="not valid",
$H$15="not valid",
$H$14=0,
$H$15=0),
"",
"We recommend you to purchase additional freetime to your booking via below link.")</f>
        <v/>
      </c>
      <c r="G16" s="443"/>
      <c r="H16" s="443"/>
      <c r="I16" s="443"/>
      <c r="U16" s="31"/>
      <c r="V16" s="32"/>
      <c r="W16" s="32"/>
      <c r="X16" s="32"/>
      <c r="Y16" s="32"/>
      <c r="Z16" s="31"/>
      <c r="AA16" s="31"/>
      <c r="AB16" s="31"/>
      <c r="AC16" s="31"/>
      <c r="AD16" s="31"/>
      <c r="AE16" s="31"/>
      <c r="AF16" s="31"/>
    </row>
    <row r="17" spans="1:25" ht="60" hidden="1" customHeight="1">
      <c r="A17" s="99"/>
      <c r="F17" s="444" t="str">
        <f>IF(F16="","","https://solutions.hapag-lloyd.com/navigator/#/dashboard")</f>
        <v/>
      </c>
      <c r="G17" s="444"/>
      <c r="H17" s="444"/>
      <c r="I17" s="444"/>
    </row>
    <row r="18" spans="1:25" s="48" customFormat="1" ht="18" customHeight="1">
      <c r="A18" s="46"/>
      <c r="B18" s="438" t="s">
        <v>135</v>
      </c>
      <c r="C18" s="438"/>
      <c r="D18" s="438"/>
      <c r="E18" s="438"/>
      <c r="F18" s="47"/>
      <c r="G18" s="46"/>
      <c r="H18" s="46"/>
      <c r="I18" s="46"/>
      <c r="J18" s="46"/>
      <c r="K18" s="46"/>
      <c r="L18" s="46"/>
      <c r="M18" s="46"/>
      <c r="N18" s="46"/>
      <c r="O18" s="46"/>
      <c r="P18" s="46"/>
      <c r="Q18" s="46"/>
      <c r="R18" s="46"/>
      <c r="S18" s="46"/>
      <c r="T18" s="46"/>
      <c r="V18" s="49"/>
      <c r="W18" s="49"/>
      <c r="X18" s="49"/>
      <c r="Y18" s="49"/>
    </row>
    <row r="19" spans="1:25" s="48" customFormat="1" ht="18" customHeight="1">
      <c r="A19" s="46"/>
      <c r="B19" s="438"/>
      <c r="C19" s="438"/>
      <c r="D19" s="438"/>
      <c r="E19" s="438"/>
      <c r="F19" s="47"/>
      <c r="G19" s="46"/>
      <c r="H19" s="46"/>
      <c r="I19" s="46"/>
      <c r="J19" s="46"/>
      <c r="K19" s="46"/>
      <c r="L19" s="46"/>
      <c r="M19" s="46"/>
      <c r="N19" s="46"/>
      <c r="O19" s="46"/>
      <c r="P19" s="46"/>
      <c r="Q19" s="46"/>
      <c r="R19" s="46"/>
      <c r="S19" s="46"/>
      <c r="T19" s="46"/>
      <c r="V19" s="49"/>
      <c r="W19" s="49"/>
      <c r="X19" s="49"/>
      <c r="Y19" s="49"/>
    </row>
    <row r="20" spans="1:25" s="48" customFormat="1" ht="18" customHeight="1">
      <c r="A20" s="46"/>
      <c r="B20" s="436" t="s">
        <v>61</v>
      </c>
      <c r="C20" s="437"/>
      <c r="D20" s="437"/>
      <c r="E20" s="437"/>
      <c r="F20" s="437"/>
      <c r="G20" s="46"/>
      <c r="H20" s="46"/>
      <c r="I20" s="46"/>
      <c r="J20" s="46"/>
      <c r="K20" s="46"/>
      <c r="L20" s="46"/>
      <c r="M20" s="46"/>
      <c r="N20" s="46"/>
      <c r="O20" s="46"/>
      <c r="P20" s="46"/>
      <c r="Q20" s="46"/>
      <c r="R20" s="46"/>
      <c r="S20" s="46"/>
      <c r="T20" s="46"/>
      <c r="V20" s="49"/>
      <c r="W20" s="49"/>
      <c r="X20" s="49"/>
      <c r="Y20" s="49"/>
    </row>
    <row r="21" spans="1:25" s="48" customFormat="1" ht="18" customHeight="1">
      <c r="A21" s="46"/>
      <c r="B21" s="50"/>
      <c r="C21" s="51"/>
      <c r="D21" s="51"/>
      <c r="E21" s="51"/>
      <c r="F21" s="51"/>
      <c r="G21" s="46"/>
      <c r="H21" s="46"/>
      <c r="I21" s="46"/>
      <c r="J21" s="46"/>
      <c r="K21" s="46"/>
      <c r="L21" s="46"/>
      <c r="M21" s="46"/>
      <c r="N21" s="46"/>
      <c r="O21" s="46"/>
      <c r="P21" s="46"/>
      <c r="Q21" s="46"/>
      <c r="R21" s="46"/>
      <c r="S21" s="46"/>
      <c r="T21" s="46"/>
      <c r="V21" s="49"/>
      <c r="W21" s="49"/>
      <c r="X21" s="49"/>
      <c r="Y21" s="49"/>
    </row>
    <row r="22" spans="1:25" s="48" customFormat="1" ht="18" customHeight="1">
      <c r="A22" s="46"/>
      <c r="B22" s="47" t="s">
        <v>133</v>
      </c>
      <c r="C22" s="51"/>
      <c r="D22" s="51"/>
      <c r="E22" s="51"/>
      <c r="F22" s="51"/>
      <c r="G22" s="46"/>
      <c r="H22" s="46"/>
      <c r="I22" s="46"/>
      <c r="J22" s="46"/>
      <c r="K22" s="46"/>
      <c r="L22" s="46"/>
      <c r="M22" s="46"/>
      <c r="N22" s="46"/>
      <c r="O22" s="46"/>
      <c r="P22" s="46"/>
      <c r="Q22" s="46"/>
      <c r="R22" s="46"/>
      <c r="S22" s="46"/>
      <c r="T22" s="46"/>
      <c r="V22" s="49"/>
      <c r="W22" s="49"/>
      <c r="X22" s="49"/>
      <c r="Y22" s="49"/>
    </row>
    <row r="23" spans="1:25" s="48" customFormat="1" ht="18" customHeight="1">
      <c r="A23" s="46"/>
      <c r="B23" s="47" t="s">
        <v>123</v>
      </c>
      <c r="C23" s="51"/>
      <c r="D23" s="51"/>
      <c r="E23" s="51"/>
      <c r="F23" s="51"/>
      <c r="G23" s="46"/>
      <c r="H23" s="46"/>
      <c r="I23" s="46"/>
      <c r="J23" s="46"/>
      <c r="K23" s="46"/>
      <c r="L23" s="46"/>
      <c r="M23" s="46"/>
      <c r="N23" s="46"/>
      <c r="O23" s="46"/>
      <c r="P23" s="46"/>
      <c r="Q23" s="46"/>
      <c r="R23" s="46"/>
      <c r="S23" s="46"/>
      <c r="T23" s="46"/>
      <c r="V23" s="49"/>
      <c r="W23" s="49"/>
      <c r="X23" s="49"/>
      <c r="Y23" s="49"/>
    </row>
    <row r="24" spans="1:25" s="48" customFormat="1" ht="18" customHeight="1">
      <c r="A24" s="46"/>
      <c r="B24" s="52" t="s">
        <v>134</v>
      </c>
      <c r="C24" s="46"/>
      <c r="D24" s="46"/>
      <c r="E24" s="46"/>
      <c r="F24" s="46"/>
      <c r="G24" s="46"/>
      <c r="H24" s="46"/>
      <c r="I24" s="46"/>
      <c r="J24" s="46"/>
      <c r="K24" s="46"/>
      <c r="L24" s="46"/>
      <c r="M24" s="46"/>
      <c r="N24" s="46"/>
      <c r="O24" s="46"/>
      <c r="P24" s="46"/>
      <c r="Q24" s="46"/>
      <c r="R24" s="46"/>
      <c r="S24" s="46"/>
      <c r="T24" s="46"/>
      <c r="V24" s="49"/>
      <c r="W24" s="49"/>
      <c r="X24" s="49"/>
      <c r="Y24" s="49"/>
    </row>
    <row r="25" spans="1:25" s="48" customFormat="1" ht="18" customHeight="1">
      <c r="A25" s="46"/>
      <c r="B25" s="52"/>
      <c r="C25" s="46"/>
      <c r="D25" s="46"/>
      <c r="E25" s="46"/>
      <c r="F25" s="46"/>
      <c r="G25" s="46"/>
      <c r="H25" s="46"/>
      <c r="I25" s="46"/>
      <c r="J25" s="46"/>
      <c r="K25" s="46"/>
      <c r="L25" s="46"/>
      <c r="M25" s="46"/>
      <c r="N25" s="46"/>
      <c r="O25" s="46"/>
      <c r="P25" s="46"/>
      <c r="Q25" s="46"/>
      <c r="R25" s="46"/>
      <c r="S25" s="46"/>
      <c r="T25" s="46"/>
      <c r="V25" s="49"/>
      <c r="W25" s="49"/>
      <c r="X25" s="49"/>
      <c r="Y25" s="49"/>
    </row>
    <row r="26" spans="1:25" s="48" customFormat="1" ht="18" customHeight="1">
      <c r="A26" s="46"/>
      <c r="B26" s="47" t="s">
        <v>136</v>
      </c>
      <c r="C26" s="46"/>
      <c r="D26" s="46"/>
      <c r="E26" s="46"/>
      <c r="F26" s="46"/>
      <c r="G26" s="46"/>
      <c r="H26" s="46"/>
      <c r="I26" s="46"/>
      <c r="J26" s="46"/>
      <c r="K26" s="46"/>
      <c r="L26" s="46"/>
      <c r="M26" s="46"/>
      <c r="N26" s="46"/>
      <c r="O26" s="46"/>
      <c r="P26" s="46"/>
      <c r="Q26" s="46"/>
      <c r="R26" s="46"/>
      <c r="S26" s="46"/>
      <c r="T26" s="46"/>
      <c r="V26" s="49"/>
      <c r="W26" s="49" t="s">
        <v>239</v>
      </c>
      <c r="X26" s="49"/>
      <c r="Y26" s="49"/>
    </row>
    <row r="27" spans="1:25" hidden="1">
      <c r="B27" s="2" t="s">
        <v>62</v>
      </c>
      <c r="C27" s="2" t="e">
        <f>F28</f>
        <v>#N/A</v>
      </c>
      <c r="D27" s="2" t="e">
        <f>D36</f>
        <v>#N/A</v>
      </c>
      <c r="E27" s="2" t="s">
        <v>16</v>
      </c>
      <c r="F27" s="2" t="s">
        <v>17</v>
      </c>
    </row>
    <row r="28" spans="1:25" hidden="1">
      <c r="B28" s="2" t="s">
        <v>63</v>
      </c>
      <c r="C28" s="2" t="e">
        <f>IF(C13&lt;(C14+C15),0,
IF((C13-B30)&lt;=C30,(C13-B30)*C31,
IF((C13-B30-C30)&lt;=D30,
((C13-B30-C30)*D31+C30*C31),
IF((C13-B30-C30-D30)&lt;=E30,(D30*D31+C30*C31+(C13-B30-C30-D30)*E31),
C30*C31+D30*D31+E30*E31+F31*(C13-B30-C30-D30-E30)))))-
IF((C14+C15)-B30&lt;=C30,((C14+C15)-B30)*C31,
IF((C14+C15)-B30-C30&lt;=D30,(C30*C31+((C14+C15)-B30-C30)*D31),
IF((C14+C15)-B30-C30-D30&lt;=E30,C30*C31+D30*D31+((C14+C15)-B30-C30-D30)*E31,C30*C31+D30*D31+E30*E31+((C14+C15)-B30-C30-D30-E30)*F31)))</f>
        <v>#N/A</v>
      </c>
      <c r="D28" s="2" t="s">
        <v>19</v>
      </c>
      <c r="E28" s="2" t="e">
        <f>IF((C14+C15)-B30&lt;=C30,
((C14+C15)-B30)*C31,
IF((C14+C15)-B30-C30&lt;=D30,
(C30*C31+((C14+C15)-B30-C30)*D31),
C30*C31+D30*D31+E31*((C14+C15)-B30-C30-D30)))</f>
        <v>#N/A</v>
      </c>
      <c r="F28" s="2" t="e">
        <f>IF((C13-B30)&lt;=C30,
(C13-B30)*C31,
IF((C13-B30-C30)&lt;=D30,
((C13-B30-C30)*D31+C30*C31),
IF((C13-B30-C30-D30)&lt;=E30,
(C30*C31+D30*D31+E31*(C13-B30-C30-D30)),
(C30*C31+D30*D31+E30*E31+F31*(C13-B30-C30-D30-E30))
)))</f>
        <v>#N/A</v>
      </c>
      <c r="G28" s="2" t="e">
        <f>F28-E28</f>
        <v>#N/A</v>
      </c>
    </row>
    <row r="29" spans="1:25" hidden="1">
      <c r="B29" s="2" t="s">
        <v>12</v>
      </c>
      <c r="C29" s="2" t="s">
        <v>13</v>
      </c>
      <c r="D29" s="2" t="s">
        <v>14</v>
      </c>
      <c r="E29" s="2" t="s">
        <v>169</v>
      </c>
      <c r="F29" s="2" t="s">
        <v>15</v>
      </c>
    </row>
    <row r="30" spans="1:25" hidden="1">
      <c r="B30" s="2" t="e">
        <f>INDEX($C$35:$T$39,1,MATCH($C$10,$C$33:$T$33,0))</f>
        <v>#N/A</v>
      </c>
      <c r="C30" s="2" t="e">
        <f>INDEX($C$35:$T$39,2,MATCH($C$10,$C$33:$T$33,0))</f>
        <v>#N/A</v>
      </c>
      <c r="D30" s="2" t="e">
        <f>INDEX($C$35:$T$39,3,MATCH($C$10,$C$33:$T$33,0))</f>
        <v>#N/A</v>
      </c>
      <c r="E30" s="2" t="e">
        <f>INDEX($C$35:$T$39,4,MATCH($C$10,$C$33:$T$33,0))</f>
        <v>#N/A</v>
      </c>
      <c r="F30" s="2" t="e">
        <f>INDEX($C$35:$T$39,5,MATCH($C$10,$C$33:$T$33,0))</f>
        <v>#N/A</v>
      </c>
    </row>
    <row r="31" spans="1:25" hidden="1">
      <c r="B31" s="2" t="e" cm="1">
        <f t="array" ref="B31">INDEX($C$35:$T$39,1,MATCH($C$10,$C$33:$T$33,0)+2)</f>
        <v>#N/A</v>
      </c>
      <c r="C31" s="2" t="e">
        <f>INDEX($C$35:$T$39,2,MATCH($C$10,$C$33:$T$33,0)+2)</f>
        <v>#N/A</v>
      </c>
      <c r="D31" s="2" t="e">
        <f>INDEX($C$35:$T$39,3,MATCH($C$10,$C$33:$T$33,0)+2)</f>
        <v>#N/A</v>
      </c>
      <c r="E31" s="2" t="e">
        <f>INDEX($C$35:$T$39,4,MATCH($C$10,$C$33:$T$33,0)+2)</f>
        <v>#N/A</v>
      </c>
      <c r="F31" s="2" t="e">
        <f>INDEX($C$35:$T$39,5,MATCH($C$10,$C$33:$T$33,0)+2)</f>
        <v>#N/A</v>
      </c>
    </row>
    <row r="32" spans="1:25" ht="60" hidden="1" customHeight="1">
      <c r="V32" s="97" t="s">
        <v>239</v>
      </c>
      <c r="W32" s="97" t="s">
        <v>239</v>
      </c>
      <c r="X32" s="97" t="s">
        <v>239</v>
      </c>
      <c r="Y32" s="97" t="s">
        <v>239</v>
      </c>
    </row>
    <row r="33" spans="1:25" ht="60" customHeight="1">
      <c r="B33" s="33" t="str">
        <f>IF(C9="&lt;make selection&gt;","",C9 &amp; " D&amp;D Tariff")</f>
        <v/>
      </c>
      <c r="C33" s="34" t="s">
        <v>8</v>
      </c>
      <c r="D33" s="35" t="s">
        <v>8</v>
      </c>
      <c r="E33" s="36" t="s">
        <v>8</v>
      </c>
      <c r="F33" s="34" t="s">
        <v>55</v>
      </c>
      <c r="G33" s="35" t="s">
        <v>55</v>
      </c>
      <c r="H33" s="36" t="s">
        <v>55</v>
      </c>
      <c r="I33" s="34" t="s">
        <v>9</v>
      </c>
      <c r="J33" s="35" t="s">
        <v>9</v>
      </c>
      <c r="K33" s="36" t="s">
        <v>9</v>
      </c>
      <c r="L33" s="34" t="s">
        <v>56</v>
      </c>
      <c r="M33" s="35" t="s">
        <v>56</v>
      </c>
      <c r="N33" s="36" t="s">
        <v>56</v>
      </c>
      <c r="O33" s="34" t="s">
        <v>10</v>
      </c>
      <c r="P33" s="35" t="s">
        <v>10</v>
      </c>
      <c r="Q33" s="36" t="s">
        <v>10</v>
      </c>
      <c r="R33" s="34" t="s">
        <v>57</v>
      </c>
      <c r="S33" s="35" t="s">
        <v>57</v>
      </c>
      <c r="T33" s="36" t="s">
        <v>57</v>
      </c>
      <c r="V33" s="97" t="s">
        <v>8</v>
      </c>
      <c r="W33" s="97" t="s">
        <v>26</v>
      </c>
      <c r="X33" s="37">
        <v>44927</v>
      </c>
      <c r="Y33" s="32">
        <v>0</v>
      </c>
    </row>
    <row r="34" spans="1:25" ht="15">
      <c r="B34" s="38" t="s">
        <v>11</v>
      </c>
      <c r="C34" s="38" t="s">
        <v>2</v>
      </c>
      <c r="D34" s="38" t="s">
        <v>3</v>
      </c>
      <c r="E34" s="38" t="s">
        <v>4</v>
      </c>
      <c r="F34" s="38" t="s">
        <v>2</v>
      </c>
      <c r="G34" s="38" t="s">
        <v>3</v>
      </c>
      <c r="H34" s="38" t="s">
        <v>4</v>
      </c>
      <c r="I34" s="38" t="s">
        <v>2</v>
      </c>
      <c r="J34" s="38" t="s">
        <v>3</v>
      </c>
      <c r="K34" s="38" t="s">
        <v>4</v>
      </c>
      <c r="L34" s="38" t="s">
        <v>2</v>
      </c>
      <c r="M34" s="38" t="s">
        <v>3</v>
      </c>
      <c r="N34" s="38" t="s">
        <v>4</v>
      </c>
      <c r="O34" s="38" t="s">
        <v>2</v>
      </c>
      <c r="P34" s="38" t="s">
        <v>3</v>
      </c>
      <c r="Q34" s="38" t="s">
        <v>4</v>
      </c>
      <c r="R34" s="38" t="s">
        <v>2</v>
      </c>
      <c r="S34" s="38" t="s">
        <v>3</v>
      </c>
      <c r="T34" s="38" t="s">
        <v>4</v>
      </c>
      <c r="V34" s="97" t="s">
        <v>55</v>
      </c>
      <c r="W34" s="97" t="s">
        <v>25</v>
      </c>
      <c r="X34" s="37">
        <v>44928</v>
      </c>
      <c r="Y34" s="32">
        <v>1</v>
      </c>
    </row>
    <row r="35" spans="1:25" ht="15">
      <c r="B35" s="38" t="s">
        <v>1</v>
      </c>
      <c r="C35" s="39" t="e">
        <f>INDEX(Tariffs!$A$3:$T$108,MATCH('DD Calculator Europe'!$C$9,Tariffs!$A$3:$A$108,0),C$40)</f>
        <v>#N/A</v>
      </c>
      <c r="D35" s="39" t="e">
        <f>INDEX(Tariffs!$A$3:$T$108,MATCH('DD Calculator Europe'!$C$9,Tariffs!$A$3:$A$108,0),D$40)</f>
        <v>#N/A</v>
      </c>
      <c r="E35" s="39" t="e">
        <f>INDEX(Tariffs!$A$3:$T$108,MATCH('DD Calculator Europe'!$C$9,Tariffs!$A$3:$A$108,0),E$40)</f>
        <v>#N/A</v>
      </c>
      <c r="F35" s="39" t="e">
        <f>INDEX(Tariffs!$A$3:$T$108,MATCH('DD Calculator Europe'!$C$9,Tariffs!$A$3:$A$108,0),F$40)</f>
        <v>#N/A</v>
      </c>
      <c r="G35" s="39" t="e">
        <f>INDEX(Tariffs!$A$3:$T$108,MATCH('DD Calculator Europe'!$C$9,Tariffs!$A$3:$A$108,0),G$40)</f>
        <v>#N/A</v>
      </c>
      <c r="H35" s="39" t="e">
        <f>INDEX(Tariffs!$A$3:$T$108,MATCH('DD Calculator Europe'!$C$9,Tariffs!$A$3:$A$108,0),H$40)</f>
        <v>#N/A</v>
      </c>
      <c r="I35" s="39" t="e">
        <f>INDEX(Tariffs!$A$3:$T$108,MATCH('DD Calculator Europe'!$C$9,Tariffs!$A$3:$A$108,0),I$40)</f>
        <v>#N/A</v>
      </c>
      <c r="J35" s="39" t="e">
        <f>INDEX(Tariffs!$A$3:$T$108,MATCH('DD Calculator Europe'!$C$9,Tariffs!$A$3:$A$108,0),J$40)</f>
        <v>#N/A</v>
      </c>
      <c r="K35" s="39" t="e">
        <f>INDEX(Tariffs!$A$3:$T$108,MATCH('DD Calculator Europe'!$C$9,Tariffs!$A$3:$A$108,0),K$40)</f>
        <v>#N/A</v>
      </c>
      <c r="L35" s="39" t="e">
        <f>INDEX(Tariffs!$A$3:$T$108,MATCH('DD Calculator Europe'!$C$9,Tariffs!$A$3:$A$108,0),L$40)</f>
        <v>#N/A</v>
      </c>
      <c r="M35" s="39" t="e">
        <f>INDEX(Tariffs!$A$3:$T$108,MATCH('DD Calculator Europe'!$C$9,Tariffs!$A$3:$A$108,0),M$40)</f>
        <v>#N/A</v>
      </c>
      <c r="N35" s="39" t="e">
        <f>INDEX(Tariffs!$A$3:$T$108,MATCH('DD Calculator Europe'!$C$9,Tariffs!$A$3:$A$108,0),N$40)</f>
        <v>#N/A</v>
      </c>
      <c r="O35" s="39" t="e">
        <f>INDEX(Tariffs!$A$3:$T$108,MATCH('DD Calculator Europe'!$C$9,Tariffs!$A$3:$A$108,0),O$40)</f>
        <v>#N/A</v>
      </c>
      <c r="P35" s="39" t="e">
        <f>INDEX(Tariffs!$A$3:$T$108,MATCH('DD Calculator Europe'!$C$9,Tariffs!$A$3:$A$108,0),P$40)</f>
        <v>#N/A</v>
      </c>
      <c r="Q35" s="39" t="e">
        <f>INDEX(Tariffs!$A$3:$T$108,MATCH('DD Calculator Europe'!$C$9,Tariffs!$A$3:$A$108,0),Q$40)</f>
        <v>#N/A</v>
      </c>
      <c r="R35" s="39" t="e">
        <f>INDEX(Tariffs!$A$3:$T$108,MATCH('DD Calculator Europe'!$C$9,Tariffs!$A$3:$A$108,0),R$40)</f>
        <v>#N/A</v>
      </c>
      <c r="S35" s="39" t="e">
        <f>INDEX(Tariffs!$A$3:$T$108,MATCH('DD Calculator Europe'!$C$9,Tariffs!$A$3:$A$108,0),S$40)</f>
        <v>#N/A</v>
      </c>
      <c r="T35" s="39" t="e">
        <f>INDEX(Tariffs!$A$3:$T$108,MATCH('DD Calculator Europe'!$C$9,Tariffs!$A$3:$A$108,0),T$40)</f>
        <v>#N/A</v>
      </c>
      <c r="V35" s="97" t="s">
        <v>9</v>
      </c>
      <c r="W35" s="97" t="s">
        <v>27</v>
      </c>
      <c r="X35" s="37">
        <v>44929</v>
      </c>
      <c r="Y35" s="32">
        <v>2</v>
      </c>
    </row>
    <row r="36" spans="1:25" ht="15">
      <c r="B36" s="38" t="s">
        <v>5</v>
      </c>
      <c r="C36" s="39" t="e">
        <f>INDEX(Tariffs!$A$3:$T$108,MATCH('DD Calculator Europe'!$C$9,Tariffs!$A$3:$A$108,0)+1,C$40)</f>
        <v>#N/A</v>
      </c>
      <c r="D36" s="39" t="e">
        <f>INDEX(Tariffs!$A$3:$T$108,MATCH('DD Calculator Europe'!$C$9,Tariffs!$A$3:$A$108,0)+1,D$40)</f>
        <v>#N/A</v>
      </c>
      <c r="E36" s="39" t="e">
        <f>INDEX(Tariffs!$A$3:$T$108,MATCH('DD Calculator Europe'!$C$9,Tariffs!$A$3:$A$108,0)+1,E$40)</f>
        <v>#N/A</v>
      </c>
      <c r="F36" s="39" t="e">
        <f>INDEX(Tariffs!$A$3:$T$108,MATCH('DD Calculator Europe'!$C$9,Tariffs!$A$3:$A$108,0)+1,F$40)</f>
        <v>#N/A</v>
      </c>
      <c r="G36" s="39" t="e">
        <f>INDEX(Tariffs!$A$3:$T$108,MATCH('DD Calculator Europe'!$C$9,Tariffs!$A$3:$A$108,0)+1,G$40)</f>
        <v>#N/A</v>
      </c>
      <c r="H36" s="39" t="e">
        <f>INDEX(Tariffs!$A$3:$T$108,MATCH('DD Calculator Europe'!$C$9,Tariffs!$A$3:$A$108,0)+1,H$40)</f>
        <v>#N/A</v>
      </c>
      <c r="I36" s="39" t="e">
        <f>INDEX(Tariffs!$A$3:$T$108,MATCH('DD Calculator Europe'!$C$9,Tariffs!$A$3:$A$108,0)+1,I$40)</f>
        <v>#N/A</v>
      </c>
      <c r="J36" s="39" t="e">
        <f>INDEX(Tariffs!$A$3:$T$108,MATCH('DD Calculator Europe'!$C$9,Tariffs!$A$3:$A$108,0)+1,J$40)</f>
        <v>#N/A</v>
      </c>
      <c r="K36" s="39" t="e">
        <f>INDEX(Tariffs!$A$3:$T$108,MATCH('DD Calculator Europe'!$C$9,Tariffs!$A$3:$A$108,0)+1,K$40)</f>
        <v>#N/A</v>
      </c>
      <c r="L36" s="39" t="e">
        <f>INDEX(Tariffs!$A$3:$T$108,MATCH('DD Calculator Europe'!$C$9,Tariffs!$A$3:$A$108,0)+1,L$40)</f>
        <v>#N/A</v>
      </c>
      <c r="M36" s="39" t="e">
        <f>INDEX(Tariffs!$A$3:$T$108,MATCH('DD Calculator Europe'!$C$9,Tariffs!$A$3:$A$108,0)+1,M$40)</f>
        <v>#N/A</v>
      </c>
      <c r="N36" s="39" t="e">
        <f>INDEX(Tariffs!$A$3:$T$108,MATCH('DD Calculator Europe'!$C$9,Tariffs!$A$3:$A$108,0)+1,N$40)</f>
        <v>#N/A</v>
      </c>
      <c r="O36" s="39" t="e">
        <f>INDEX(Tariffs!$A$3:$T$108,MATCH('DD Calculator Europe'!$C$9,Tariffs!$A$3:$A$108,0)+1,O$40)</f>
        <v>#N/A</v>
      </c>
      <c r="P36" s="39" t="e">
        <f>INDEX(Tariffs!$A$3:$T$108,MATCH('DD Calculator Europe'!$C$9,Tariffs!$A$3:$A$108,0)+1,P$40)</f>
        <v>#N/A</v>
      </c>
      <c r="Q36" s="39" t="e">
        <f>INDEX(Tariffs!$A$3:$T$108,MATCH('DD Calculator Europe'!$C$9,Tariffs!$A$3:$A$108,0)+1,Q$40)</f>
        <v>#N/A</v>
      </c>
      <c r="R36" s="39" t="e">
        <f>INDEX(Tariffs!$A$3:$T$108,MATCH('DD Calculator Europe'!$C$9,Tariffs!$A$3:$A$108,0)+1,R$40)</f>
        <v>#N/A</v>
      </c>
      <c r="S36" s="39" t="e">
        <f>INDEX(Tariffs!$A$3:$T$108,MATCH('DD Calculator Europe'!$C$9,Tariffs!$A$3:$A$108,0)+1,S$40)</f>
        <v>#N/A</v>
      </c>
      <c r="T36" s="39" t="e">
        <f>INDEX(Tariffs!$A$3:$T$108,MATCH('DD Calculator Europe'!$C$9,Tariffs!$A$3:$A$108,0)+1,T$40)</f>
        <v>#N/A</v>
      </c>
      <c r="V36" s="97" t="s">
        <v>56</v>
      </c>
      <c r="W36" s="97" t="s">
        <v>28</v>
      </c>
      <c r="X36" s="37">
        <v>44930</v>
      </c>
      <c r="Y36" s="32">
        <v>3</v>
      </c>
    </row>
    <row r="37" spans="1:25" ht="15">
      <c r="B37" s="38" t="s">
        <v>7</v>
      </c>
      <c r="C37" s="39" t="e">
        <f>INDEX(Tariffs!$A$3:$T$108,MATCH('DD Calculator Europe'!$C$9,Tariffs!$A$3:$A$108,0)+2,C$40)</f>
        <v>#N/A</v>
      </c>
      <c r="D37" s="39" t="e">
        <f>INDEX(Tariffs!$A$3:$T$108,MATCH('DD Calculator Europe'!$C$9,Tariffs!$A$3:$A$108,0)+2,D$40)</f>
        <v>#N/A</v>
      </c>
      <c r="E37" s="39" t="e">
        <f>INDEX(Tariffs!$A$3:$T$108,MATCH('DD Calculator Europe'!$C$9,Tariffs!$A$3:$A$108,0)+2,E$40)</f>
        <v>#N/A</v>
      </c>
      <c r="F37" s="39" t="e">
        <f>INDEX(Tariffs!$A$3:$T$108,MATCH('DD Calculator Europe'!$C$9,Tariffs!$A$3:$A$108,0)+2,F$40)</f>
        <v>#N/A</v>
      </c>
      <c r="G37" s="39" t="e">
        <f>INDEX(Tariffs!$A$3:$T$108,MATCH('DD Calculator Europe'!$C$9,Tariffs!$A$3:$A$108,0)+2,G$40)</f>
        <v>#N/A</v>
      </c>
      <c r="H37" s="39" t="e">
        <f>INDEX(Tariffs!$A$3:$T$108,MATCH('DD Calculator Europe'!$C$9,Tariffs!$A$3:$A$108,0)+2,H$40)</f>
        <v>#N/A</v>
      </c>
      <c r="I37" s="39" t="e">
        <f>INDEX(Tariffs!$A$3:$T$108,MATCH('DD Calculator Europe'!$C$9,Tariffs!$A$3:$A$108,0)+2,I$40)</f>
        <v>#N/A</v>
      </c>
      <c r="J37" s="39" t="e">
        <f>INDEX(Tariffs!$A$3:$T$108,MATCH('DD Calculator Europe'!$C$9,Tariffs!$A$3:$A$108,0)+2,J$40)</f>
        <v>#N/A</v>
      </c>
      <c r="K37" s="39" t="e">
        <f>INDEX(Tariffs!$A$3:$T$108,MATCH('DD Calculator Europe'!$C$9,Tariffs!$A$3:$A$108,0)+2,K$40)</f>
        <v>#N/A</v>
      </c>
      <c r="L37" s="39" t="e">
        <f>INDEX(Tariffs!$A$3:$T$108,MATCH('DD Calculator Europe'!$C$9,Tariffs!$A$3:$A$108,0)+2,L$40)</f>
        <v>#N/A</v>
      </c>
      <c r="M37" s="39" t="e">
        <f>INDEX(Tariffs!$A$3:$T$108,MATCH('DD Calculator Europe'!$C$9,Tariffs!$A$3:$A$108,0)+2,M$40)</f>
        <v>#N/A</v>
      </c>
      <c r="N37" s="39" t="e">
        <f>INDEX(Tariffs!$A$3:$T$108,MATCH('DD Calculator Europe'!$C$9,Tariffs!$A$3:$A$108,0)+2,N$40)</f>
        <v>#N/A</v>
      </c>
      <c r="O37" s="39" t="e">
        <f>INDEX(Tariffs!$A$3:$T$108,MATCH('DD Calculator Europe'!$C$9,Tariffs!$A$3:$A$108,0)+2,O$40)</f>
        <v>#N/A</v>
      </c>
      <c r="P37" s="39" t="e">
        <f>INDEX(Tariffs!$A$3:$T$108,MATCH('DD Calculator Europe'!$C$9,Tariffs!$A$3:$A$108,0)+2,P$40)</f>
        <v>#N/A</v>
      </c>
      <c r="Q37" s="39" t="e">
        <f>INDEX(Tariffs!$A$3:$T$108,MATCH('DD Calculator Europe'!$C$9,Tariffs!$A$3:$A$108,0)+2,Q$40)</f>
        <v>#N/A</v>
      </c>
      <c r="R37" s="39" t="e">
        <f>INDEX(Tariffs!$A$3:$T$108,MATCH('DD Calculator Europe'!$C$9,Tariffs!$A$3:$A$108,0)+2,R$40)</f>
        <v>#N/A</v>
      </c>
      <c r="S37" s="39" t="e">
        <f>INDEX(Tariffs!$A$3:$T$108,MATCH('DD Calculator Europe'!$C$9,Tariffs!$A$3:$A$108,0)+2,S$40)</f>
        <v>#N/A</v>
      </c>
      <c r="T37" s="39" t="e">
        <f>INDEX(Tariffs!$A$3:$T$108,MATCH('DD Calculator Europe'!$C$9,Tariffs!$A$3:$A$108,0)+2,T$40)</f>
        <v>#N/A</v>
      </c>
      <c r="V37" s="97" t="s">
        <v>10</v>
      </c>
      <c r="W37" s="97" t="s">
        <v>30</v>
      </c>
      <c r="X37" s="37">
        <v>44931</v>
      </c>
      <c r="Y37" s="32">
        <v>4</v>
      </c>
    </row>
    <row r="38" spans="1:25" ht="15">
      <c r="B38" s="38" t="s">
        <v>219</v>
      </c>
      <c r="C38" s="39" t="e">
        <f>INDEX(Tariffs!$A$3:$T$108,MATCH('DD Calculator Europe'!$C$9,Tariffs!$A$3:$A$108,0)+3,C$40)</f>
        <v>#N/A</v>
      </c>
      <c r="D38" s="39" t="e">
        <f>INDEX(Tariffs!$A$3:$T$108,MATCH('DD Calculator Europe'!$C$9,Tariffs!$A$3:$A$108,0)+3,D$40)</f>
        <v>#N/A</v>
      </c>
      <c r="E38" s="39" t="e">
        <f>INDEX(Tariffs!$A$3:$T$108,MATCH('DD Calculator Europe'!$C$9,Tariffs!$A$3:$A$108,0)+3,E$40)</f>
        <v>#N/A</v>
      </c>
      <c r="F38" s="39" t="e">
        <f>INDEX(Tariffs!$A$3:$T$108,MATCH('DD Calculator Europe'!$C$9,Tariffs!$A$3:$A$108,0)+3,F$40)</f>
        <v>#N/A</v>
      </c>
      <c r="G38" s="39" t="e">
        <f>INDEX(Tariffs!$A$3:$T$108,MATCH('DD Calculator Europe'!$C$9,Tariffs!$A$3:$A$108,0)+3,G$40)</f>
        <v>#N/A</v>
      </c>
      <c r="H38" s="39" t="e">
        <f>INDEX(Tariffs!$A$3:$T$108,MATCH('DD Calculator Europe'!$C$9,Tariffs!$A$3:$A$108,0)+3,H$40)</f>
        <v>#N/A</v>
      </c>
      <c r="I38" s="39" t="e">
        <f>INDEX(Tariffs!$A$3:$T$108,MATCH('DD Calculator Europe'!$C$9,Tariffs!$A$3:$A$108,0)+3,I$40)</f>
        <v>#N/A</v>
      </c>
      <c r="J38" s="39" t="e">
        <f>INDEX(Tariffs!$A$3:$T$108,MATCH('DD Calculator Europe'!$C$9,Tariffs!$A$3:$A$108,0)+3,J$40)</f>
        <v>#N/A</v>
      </c>
      <c r="K38" s="39" t="e">
        <f>INDEX(Tariffs!$A$3:$T$108,MATCH('DD Calculator Europe'!$C$9,Tariffs!$A$3:$A$108,0)+3,K$40)</f>
        <v>#N/A</v>
      </c>
      <c r="L38" s="39" t="e">
        <f>INDEX(Tariffs!$A$3:$T$108,MATCH('DD Calculator Europe'!$C$9,Tariffs!$A$3:$A$108,0)+3,L$40)</f>
        <v>#N/A</v>
      </c>
      <c r="M38" s="39" t="e">
        <f>INDEX(Tariffs!$A$3:$T$108,MATCH('DD Calculator Europe'!$C$9,Tariffs!$A$3:$A$108,0)+3,M$40)</f>
        <v>#N/A</v>
      </c>
      <c r="N38" s="39" t="e">
        <f>INDEX(Tariffs!$A$3:$T$108,MATCH('DD Calculator Europe'!$C$9,Tariffs!$A$3:$A$108,0)+3,N$40)</f>
        <v>#N/A</v>
      </c>
      <c r="O38" s="39" t="e">
        <f>INDEX(Tariffs!$A$3:$T$108,MATCH('DD Calculator Europe'!$C$9,Tariffs!$A$3:$A$108,0)+3,O$40)</f>
        <v>#N/A</v>
      </c>
      <c r="P38" s="39" t="e">
        <f>INDEX(Tariffs!$A$3:$T$108,MATCH('DD Calculator Europe'!$C$9,Tariffs!$A$3:$A$108,0)+3,P$40)</f>
        <v>#N/A</v>
      </c>
      <c r="Q38" s="39" t="e">
        <f>INDEX(Tariffs!$A$3:$T$108,MATCH('DD Calculator Europe'!$C$9,Tariffs!$A$3:$A$108,0)+3,Q$40)</f>
        <v>#N/A</v>
      </c>
      <c r="R38" s="39" t="e">
        <f>INDEX(Tariffs!$A$3:$T$108,MATCH('DD Calculator Europe'!$C$9,Tariffs!$A$3:$A$108,0)+3,R$40)</f>
        <v>#N/A</v>
      </c>
      <c r="S38" s="39" t="e">
        <f>INDEX(Tariffs!$A$3:$T$108,MATCH('DD Calculator Europe'!$C$9,Tariffs!$A$3:$A$108,0)+3,S$40)</f>
        <v>#N/A</v>
      </c>
      <c r="T38" s="39" t="e">
        <f>INDEX(Tariffs!$A$3:$T$108,MATCH('DD Calculator Europe'!$C$9,Tariffs!$A$3:$A$108,0)+3,T$40)</f>
        <v>#N/A</v>
      </c>
      <c r="V38" s="97" t="s">
        <v>57</v>
      </c>
      <c r="W38" s="97" t="s">
        <v>29</v>
      </c>
      <c r="X38" s="37">
        <v>44932</v>
      </c>
      <c r="Y38" s="32">
        <v>5</v>
      </c>
    </row>
    <row r="39" spans="1:25" ht="15">
      <c r="B39" s="38" t="s">
        <v>0</v>
      </c>
      <c r="C39" s="244" t="e">
        <f>INDEX(Tariffs!$A$3:$T$108,MATCH('DD Calculator Europe'!$C$9,Tariffs!$A$3:$A$108,0)+4,C$40)</f>
        <v>#N/A</v>
      </c>
      <c r="D39" s="39" t="e">
        <f>INDEX(Tariffs!$A$3:$T$108,MATCH('DD Calculator Europe'!$C$9,Tariffs!$A$3:$A$108,0)+4,D$40)</f>
        <v>#N/A</v>
      </c>
      <c r="E39" s="39" t="e">
        <f>IF(INDEX(Tariffs!$A$3:$T$108,MATCH('DD Calculator Europe'!$C$9,Tariffs!$A$3:$A$108,0)+4,E$40)=0,MAX(E35:E38),INDEX(Tariffs!$A$3:$T$108,MATCH('DD Calculator Europe'!$C$9,Tariffs!$A$3:$A$108,0)+4,E$40))</f>
        <v>#N/A</v>
      </c>
      <c r="F39" s="244" t="e">
        <f>INDEX(Tariffs!$A$3:$T$108,MATCH('DD Calculator Europe'!$C$9,Tariffs!$A$3:$A$108,0)+4,F$40)</f>
        <v>#N/A</v>
      </c>
      <c r="G39" s="39" t="e">
        <f>INDEX(Tariffs!$A$3:$T$108,MATCH('DD Calculator Europe'!$C$9,Tariffs!$A$3:$A$108,0)+4,G$40)</f>
        <v>#N/A</v>
      </c>
      <c r="H39" s="39" t="e">
        <f>IF(INDEX(Tariffs!$A$3:$T$108,MATCH('DD Calculator Europe'!$C$9,Tariffs!$A$3:$A$108,0)+4,H$40)=0,MAX(H35:H38),INDEX(Tariffs!$A$3:$T$108,MATCH('DD Calculator Europe'!$C$9,Tariffs!$A$3:$A$108,0)+4,H$40))</f>
        <v>#N/A</v>
      </c>
      <c r="I39" s="244" t="e">
        <f>INDEX(Tariffs!$A$3:$T$108,MATCH('DD Calculator Europe'!$C$9,Tariffs!$A$3:$A$108,0)+4,I$40)</f>
        <v>#N/A</v>
      </c>
      <c r="J39" s="39" t="e">
        <f>INDEX(Tariffs!$A$3:$T$108,MATCH('DD Calculator Europe'!$C$9,Tariffs!$A$3:$A$108,0)+4,J$40)</f>
        <v>#N/A</v>
      </c>
      <c r="K39" s="39" t="e">
        <f>IF(INDEX(Tariffs!$A$3:$T$108,MATCH('DD Calculator Europe'!$C$9,Tariffs!$A$3:$A$108,0)+4,K$40)=0,MAX(K35:K38),INDEX(Tariffs!$A$3:$T$108,MATCH('DD Calculator Europe'!$C$9,Tariffs!$A$3:$A$108,0)+4,K$40))</f>
        <v>#N/A</v>
      </c>
      <c r="L39" s="244" t="e">
        <f>INDEX(Tariffs!$A$3:$T$108,MATCH('DD Calculator Europe'!$C$9,Tariffs!$A$3:$A$108,0)+4,L$40)</f>
        <v>#N/A</v>
      </c>
      <c r="M39" s="39" t="e">
        <f>INDEX(Tariffs!$A$3:$T$108,MATCH('DD Calculator Europe'!$C$9,Tariffs!$A$3:$A$108,0)+4,M$40)</f>
        <v>#N/A</v>
      </c>
      <c r="N39" s="39" t="e">
        <f>IF(INDEX(Tariffs!$A$3:$T$108,MATCH('DD Calculator Europe'!$C$9,Tariffs!$A$3:$A$108,0)+4,N$40)=0,MAX(N35:N38),INDEX(Tariffs!$A$3:$T$108,MATCH('DD Calculator Europe'!$C$9,Tariffs!$A$3:$A$108,0)+4,N$40))</f>
        <v>#N/A</v>
      </c>
      <c r="O39" s="244" t="e">
        <f>INDEX(Tariffs!$A$3:$T$108,MATCH('DD Calculator Europe'!$C$9,Tariffs!$A$3:$A$108,0)+4,O$40)</f>
        <v>#N/A</v>
      </c>
      <c r="P39" s="39" t="e">
        <f>INDEX(Tariffs!$A$3:$T$108,MATCH('DD Calculator Europe'!$C$9,Tariffs!$A$3:$A$108,0)+4,P$40)</f>
        <v>#N/A</v>
      </c>
      <c r="Q39" s="39" t="e">
        <f>IF(INDEX(Tariffs!$A$3:$T$108,MATCH('DD Calculator Europe'!$C$9,Tariffs!$A$3:$A$108,0)+4,Q$40)=0,MAX(Q35:Q38),INDEX(Tariffs!$A$3:$T$108,MATCH('DD Calculator Europe'!$C$9,Tariffs!$A$3:$A$108,0)+4,Q$40))</f>
        <v>#N/A</v>
      </c>
      <c r="R39" s="244" t="e">
        <f>INDEX(Tariffs!$A$3:$T$108,MATCH('DD Calculator Europe'!$C$9,Tariffs!$A$3:$A$108,0)+4,R$40)</f>
        <v>#N/A</v>
      </c>
      <c r="S39" s="39" t="e">
        <f>INDEX(Tariffs!$A$3:$T$108,MATCH('DD Calculator Europe'!$C$9,Tariffs!$A$3:$A$108,0)+4,S$40)</f>
        <v>#N/A</v>
      </c>
      <c r="T39" s="39" t="e">
        <f>IF(INDEX(Tariffs!$A$3:$T$108,MATCH('DD Calculator Europe'!$C$9,Tariffs!$A$3:$A$108,0)+4,T$40)=0,MAX(T35:T38),INDEX(Tariffs!$A$3:$T$108,MATCH('DD Calculator Europe'!$C$9,Tariffs!$A$3:$A$108,0)+4,T$40))</f>
        <v>#N/A</v>
      </c>
      <c r="V39" s="97"/>
      <c r="W39" s="97" t="s">
        <v>31</v>
      </c>
      <c r="X39" s="37">
        <v>44933</v>
      </c>
      <c r="Y39" s="32">
        <v>6</v>
      </c>
    </row>
    <row r="40" spans="1:25">
      <c r="A40" s="32"/>
      <c r="B40" s="32"/>
      <c r="C40" s="32">
        <v>3</v>
      </c>
      <c r="D40" s="32">
        <v>4</v>
      </c>
      <c r="E40" s="32">
        <v>5</v>
      </c>
      <c r="F40" s="32">
        <v>6</v>
      </c>
      <c r="G40" s="32">
        <v>7</v>
      </c>
      <c r="H40" s="32">
        <v>8</v>
      </c>
      <c r="I40" s="32">
        <v>9</v>
      </c>
      <c r="J40" s="32">
        <v>10</v>
      </c>
      <c r="K40" s="32">
        <v>11</v>
      </c>
      <c r="L40" s="32">
        <v>12</v>
      </c>
      <c r="M40" s="32">
        <v>13</v>
      </c>
      <c r="N40" s="32">
        <v>14</v>
      </c>
      <c r="O40" s="32">
        <v>15</v>
      </c>
      <c r="P40" s="32">
        <v>16</v>
      </c>
      <c r="Q40" s="32">
        <v>17</v>
      </c>
      <c r="R40" s="32">
        <v>18</v>
      </c>
      <c r="S40" s="32">
        <v>19</v>
      </c>
      <c r="T40" s="32">
        <v>20</v>
      </c>
      <c r="V40" s="98"/>
      <c r="W40" s="97" t="s">
        <v>20</v>
      </c>
      <c r="X40" s="37">
        <v>44934</v>
      </c>
      <c r="Y40" s="32">
        <v>7</v>
      </c>
    </row>
    <row r="41" spans="1:25">
      <c r="V41" s="98"/>
      <c r="W41" s="97" t="s">
        <v>32</v>
      </c>
      <c r="X41" s="37">
        <v>44935</v>
      </c>
      <c r="Y41" s="32">
        <v>8</v>
      </c>
    </row>
    <row r="42" spans="1:25">
      <c r="V42" s="98"/>
      <c r="W42" s="97" t="s">
        <v>18</v>
      </c>
      <c r="X42" s="37">
        <v>44936</v>
      </c>
      <c r="Y42" s="32">
        <v>9</v>
      </c>
    </row>
    <row r="43" spans="1:25">
      <c r="V43" s="98"/>
      <c r="W43" s="97" t="s">
        <v>33</v>
      </c>
      <c r="X43" s="37">
        <v>44937</v>
      </c>
      <c r="Y43" s="32">
        <v>10</v>
      </c>
    </row>
    <row r="44" spans="1:25">
      <c r="V44" s="98"/>
      <c r="W44" s="97" t="s">
        <v>34</v>
      </c>
      <c r="X44" s="37">
        <v>44938</v>
      </c>
      <c r="Y44" s="32">
        <v>11</v>
      </c>
    </row>
    <row r="45" spans="1:25">
      <c r="V45" s="98"/>
      <c r="W45" s="97" t="s">
        <v>22</v>
      </c>
      <c r="X45" s="37">
        <v>44939</v>
      </c>
      <c r="Y45" s="32">
        <v>12</v>
      </c>
    </row>
    <row r="46" spans="1:25">
      <c r="V46" s="98"/>
      <c r="W46" s="97" t="s">
        <v>35</v>
      </c>
      <c r="X46" s="37">
        <v>44940</v>
      </c>
      <c r="Y46" s="32">
        <v>13</v>
      </c>
    </row>
    <row r="47" spans="1:25">
      <c r="V47" s="98"/>
      <c r="W47" s="97" t="s">
        <v>21</v>
      </c>
      <c r="X47" s="37">
        <v>44941</v>
      </c>
      <c r="Y47" s="32">
        <v>14</v>
      </c>
    </row>
    <row r="48" spans="1:25">
      <c r="V48" s="98"/>
      <c r="W48" s="97" t="s">
        <v>36</v>
      </c>
      <c r="X48" s="37">
        <v>44942</v>
      </c>
      <c r="Y48" s="32">
        <v>15</v>
      </c>
    </row>
    <row r="49" spans="22:25">
      <c r="V49" s="98"/>
      <c r="W49" s="97" t="s">
        <v>37</v>
      </c>
      <c r="X49" s="37">
        <v>44943</v>
      </c>
      <c r="Y49" s="32">
        <v>16</v>
      </c>
    </row>
    <row r="50" spans="22:25">
      <c r="V50" s="98"/>
      <c r="W50" s="97" t="s">
        <v>38</v>
      </c>
      <c r="X50" s="37">
        <v>44944</v>
      </c>
      <c r="Y50" s="32">
        <v>17</v>
      </c>
    </row>
    <row r="51" spans="22:25">
      <c r="V51" s="98"/>
      <c r="W51" s="97" t="s">
        <v>39</v>
      </c>
      <c r="X51" s="37">
        <v>44945</v>
      </c>
      <c r="Y51" s="32">
        <v>18</v>
      </c>
    </row>
    <row r="52" spans="22:25">
      <c r="V52" s="98"/>
      <c r="W52" s="97" t="s">
        <v>40</v>
      </c>
      <c r="X52" s="37">
        <v>44946</v>
      </c>
      <c r="Y52" s="32">
        <v>19</v>
      </c>
    </row>
    <row r="53" spans="22:25">
      <c r="V53" s="98"/>
      <c r="W53" s="97" t="s">
        <v>41</v>
      </c>
      <c r="X53" s="37">
        <v>44947</v>
      </c>
      <c r="Y53" s="32">
        <v>20</v>
      </c>
    </row>
    <row r="54" spans="22:25">
      <c r="V54" s="98"/>
      <c r="W54" s="97" t="s">
        <v>23</v>
      </c>
      <c r="X54" s="37">
        <v>44948</v>
      </c>
      <c r="Y54" s="32">
        <v>21</v>
      </c>
    </row>
    <row r="55" spans="22:25">
      <c r="V55" s="98"/>
      <c r="W55" s="97" t="s">
        <v>269</v>
      </c>
      <c r="X55" s="37">
        <v>44949</v>
      </c>
      <c r="Y55" s="32">
        <v>22</v>
      </c>
    </row>
    <row r="56" spans="22:25">
      <c r="V56" s="98"/>
      <c r="W56" s="97" t="s">
        <v>42</v>
      </c>
      <c r="X56" s="37">
        <v>44950</v>
      </c>
      <c r="Y56" s="32">
        <v>23</v>
      </c>
    </row>
    <row r="57" spans="22:25">
      <c r="V57" s="98"/>
      <c r="W57" s="97"/>
      <c r="X57" s="37">
        <v>44951</v>
      </c>
      <c r="Y57" s="32">
        <v>24</v>
      </c>
    </row>
    <row r="58" spans="22:25">
      <c r="W58" s="97"/>
      <c r="X58" s="37">
        <v>44952</v>
      </c>
      <c r="Y58" s="32">
        <v>25</v>
      </c>
    </row>
    <row r="59" spans="22:25">
      <c r="W59" s="96"/>
      <c r="X59" s="37">
        <v>44953</v>
      </c>
      <c r="Y59" s="32">
        <v>26</v>
      </c>
    </row>
    <row r="60" spans="22:25">
      <c r="W60" s="96"/>
      <c r="X60" s="37">
        <v>44954</v>
      </c>
      <c r="Y60" s="32">
        <v>27</v>
      </c>
    </row>
    <row r="61" spans="22:25">
      <c r="W61" s="96"/>
      <c r="X61" s="37">
        <v>44955</v>
      </c>
      <c r="Y61" s="32">
        <v>28</v>
      </c>
    </row>
    <row r="62" spans="22:25">
      <c r="X62" s="37">
        <v>44956</v>
      </c>
      <c r="Y62" s="32">
        <v>29</v>
      </c>
    </row>
    <row r="63" spans="22:25">
      <c r="X63" s="37">
        <v>44957</v>
      </c>
      <c r="Y63" s="32">
        <v>30</v>
      </c>
    </row>
    <row r="64" spans="22:25">
      <c r="X64" s="37">
        <v>44958</v>
      </c>
      <c r="Y64" s="32">
        <v>31</v>
      </c>
    </row>
    <row r="65" spans="24:25">
      <c r="X65" s="37">
        <v>44959</v>
      </c>
      <c r="Y65" s="32">
        <v>32</v>
      </c>
    </row>
    <row r="66" spans="24:25">
      <c r="X66" s="37">
        <v>44960</v>
      </c>
      <c r="Y66" s="32">
        <v>33</v>
      </c>
    </row>
    <row r="67" spans="24:25">
      <c r="X67" s="37">
        <v>44961</v>
      </c>
      <c r="Y67" s="32">
        <v>34</v>
      </c>
    </row>
    <row r="68" spans="24:25">
      <c r="X68" s="37">
        <v>44962</v>
      </c>
      <c r="Y68" s="32">
        <v>35</v>
      </c>
    </row>
    <row r="69" spans="24:25">
      <c r="X69" s="37">
        <v>44963</v>
      </c>
      <c r="Y69" s="32">
        <v>36</v>
      </c>
    </row>
    <row r="70" spans="24:25">
      <c r="X70" s="37">
        <v>44964</v>
      </c>
      <c r="Y70" s="32">
        <v>37</v>
      </c>
    </row>
    <row r="71" spans="24:25">
      <c r="X71" s="37">
        <v>44965</v>
      </c>
      <c r="Y71" s="32">
        <v>38</v>
      </c>
    </row>
    <row r="72" spans="24:25">
      <c r="X72" s="37">
        <v>44966</v>
      </c>
      <c r="Y72" s="32">
        <v>39</v>
      </c>
    </row>
    <row r="73" spans="24:25">
      <c r="X73" s="37">
        <v>44967</v>
      </c>
      <c r="Y73" s="32">
        <v>40</v>
      </c>
    </row>
    <row r="74" spans="24:25">
      <c r="X74" s="37">
        <v>44968</v>
      </c>
      <c r="Y74" s="32">
        <v>41</v>
      </c>
    </row>
    <row r="75" spans="24:25">
      <c r="X75" s="37">
        <v>44969</v>
      </c>
      <c r="Y75" s="32">
        <v>42</v>
      </c>
    </row>
    <row r="76" spans="24:25">
      <c r="X76" s="37">
        <v>44970</v>
      </c>
      <c r="Y76" s="32">
        <v>43</v>
      </c>
    </row>
    <row r="77" spans="24:25">
      <c r="X77" s="37">
        <v>44971</v>
      </c>
      <c r="Y77" s="32">
        <v>44</v>
      </c>
    </row>
    <row r="78" spans="24:25">
      <c r="X78" s="37">
        <v>44972</v>
      </c>
      <c r="Y78" s="32">
        <v>45</v>
      </c>
    </row>
    <row r="79" spans="24:25">
      <c r="X79" s="37">
        <v>44973</v>
      </c>
      <c r="Y79" s="32">
        <v>46</v>
      </c>
    </row>
    <row r="80" spans="24:25">
      <c r="X80" s="37">
        <v>44974</v>
      </c>
      <c r="Y80" s="32">
        <v>47</v>
      </c>
    </row>
    <row r="81" spans="24:25">
      <c r="X81" s="37">
        <v>44975</v>
      </c>
      <c r="Y81" s="32">
        <v>48</v>
      </c>
    </row>
    <row r="82" spans="24:25">
      <c r="X82" s="37">
        <v>44976</v>
      </c>
      <c r="Y82" s="32">
        <v>49</v>
      </c>
    </row>
    <row r="83" spans="24:25">
      <c r="X83" s="37">
        <v>44977</v>
      </c>
      <c r="Y83" s="32">
        <v>50</v>
      </c>
    </row>
    <row r="84" spans="24:25">
      <c r="X84" s="37">
        <v>44978</v>
      </c>
      <c r="Y84" s="32">
        <v>51</v>
      </c>
    </row>
    <row r="85" spans="24:25">
      <c r="X85" s="37">
        <v>44979</v>
      </c>
      <c r="Y85" s="32">
        <v>52</v>
      </c>
    </row>
    <row r="86" spans="24:25">
      <c r="X86" s="37">
        <v>44980</v>
      </c>
      <c r="Y86" s="32">
        <v>53</v>
      </c>
    </row>
    <row r="87" spans="24:25">
      <c r="X87" s="37">
        <v>44981</v>
      </c>
      <c r="Y87" s="32">
        <v>54</v>
      </c>
    </row>
    <row r="88" spans="24:25">
      <c r="X88" s="37">
        <v>44982</v>
      </c>
      <c r="Y88" s="32">
        <v>55</v>
      </c>
    </row>
    <row r="89" spans="24:25">
      <c r="X89" s="37">
        <v>44983</v>
      </c>
      <c r="Y89" s="32">
        <v>56</v>
      </c>
    </row>
    <row r="90" spans="24:25">
      <c r="X90" s="37">
        <v>44984</v>
      </c>
      <c r="Y90" s="32">
        <v>57</v>
      </c>
    </row>
    <row r="91" spans="24:25">
      <c r="X91" s="37">
        <v>44985</v>
      </c>
      <c r="Y91" s="32">
        <v>58</v>
      </c>
    </row>
    <row r="92" spans="24:25">
      <c r="X92" s="37">
        <v>44986</v>
      </c>
      <c r="Y92" s="32">
        <v>59</v>
      </c>
    </row>
    <row r="93" spans="24:25">
      <c r="X93" s="37">
        <v>44987</v>
      </c>
      <c r="Y93" s="32">
        <v>60</v>
      </c>
    </row>
    <row r="94" spans="24:25">
      <c r="X94" s="37">
        <v>44988</v>
      </c>
      <c r="Y94" s="32">
        <v>61</v>
      </c>
    </row>
    <row r="95" spans="24:25">
      <c r="X95" s="37">
        <v>44989</v>
      </c>
      <c r="Y95" s="32">
        <v>62</v>
      </c>
    </row>
    <row r="96" spans="24:25">
      <c r="X96" s="37">
        <v>44990</v>
      </c>
      <c r="Y96" s="32">
        <v>63</v>
      </c>
    </row>
    <row r="97" spans="24:25">
      <c r="X97" s="37">
        <v>44991</v>
      </c>
      <c r="Y97" s="32">
        <v>64</v>
      </c>
    </row>
    <row r="98" spans="24:25">
      <c r="X98" s="37">
        <v>44992</v>
      </c>
      <c r="Y98" s="32">
        <v>65</v>
      </c>
    </row>
    <row r="99" spans="24:25">
      <c r="X99" s="37">
        <v>44993</v>
      </c>
      <c r="Y99" s="32">
        <v>66</v>
      </c>
    </row>
    <row r="100" spans="24:25">
      <c r="X100" s="37">
        <v>44994</v>
      </c>
      <c r="Y100" s="32">
        <v>67</v>
      </c>
    </row>
    <row r="101" spans="24:25">
      <c r="X101" s="37">
        <v>44995</v>
      </c>
      <c r="Y101" s="32">
        <v>68</v>
      </c>
    </row>
    <row r="102" spans="24:25">
      <c r="X102" s="37">
        <v>44996</v>
      </c>
      <c r="Y102" s="32">
        <v>69</v>
      </c>
    </row>
    <row r="103" spans="24:25">
      <c r="X103" s="37">
        <v>44997</v>
      </c>
      <c r="Y103" s="32">
        <v>70</v>
      </c>
    </row>
    <row r="104" spans="24:25">
      <c r="X104" s="37">
        <v>44998</v>
      </c>
      <c r="Y104" s="32">
        <v>71</v>
      </c>
    </row>
    <row r="105" spans="24:25">
      <c r="X105" s="37">
        <v>44999</v>
      </c>
      <c r="Y105" s="32">
        <v>72</v>
      </c>
    </row>
    <row r="106" spans="24:25">
      <c r="X106" s="37">
        <v>45000</v>
      </c>
      <c r="Y106" s="32">
        <v>73</v>
      </c>
    </row>
    <row r="107" spans="24:25">
      <c r="X107" s="37">
        <v>45001</v>
      </c>
      <c r="Y107" s="32">
        <v>74</v>
      </c>
    </row>
    <row r="108" spans="24:25">
      <c r="X108" s="37">
        <v>45002</v>
      </c>
      <c r="Y108" s="32">
        <v>75</v>
      </c>
    </row>
    <row r="109" spans="24:25">
      <c r="X109" s="37">
        <v>45003</v>
      </c>
      <c r="Y109" s="32">
        <v>76</v>
      </c>
    </row>
    <row r="110" spans="24:25">
      <c r="X110" s="37">
        <v>45004</v>
      </c>
      <c r="Y110" s="32">
        <v>77</v>
      </c>
    </row>
    <row r="111" spans="24:25">
      <c r="X111" s="37">
        <v>45005</v>
      </c>
      <c r="Y111" s="32">
        <v>78</v>
      </c>
    </row>
    <row r="112" spans="24:25">
      <c r="X112" s="37">
        <v>45006</v>
      </c>
      <c r="Y112" s="32">
        <v>79</v>
      </c>
    </row>
    <row r="113" spans="24:25">
      <c r="X113" s="37">
        <v>45007</v>
      </c>
      <c r="Y113" s="32">
        <v>80</v>
      </c>
    </row>
    <row r="114" spans="24:25">
      <c r="X114" s="37">
        <v>45008</v>
      </c>
      <c r="Y114" s="32">
        <v>81</v>
      </c>
    </row>
    <row r="115" spans="24:25">
      <c r="X115" s="37">
        <v>45009</v>
      </c>
      <c r="Y115" s="32">
        <v>82</v>
      </c>
    </row>
    <row r="116" spans="24:25">
      <c r="X116" s="37">
        <v>45010</v>
      </c>
      <c r="Y116" s="32">
        <v>83</v>
      </c>
    </row>
    <row r="117" spans="24:25">
      <c r="X117" s="37">
        <v>45011</v>
      </c>
      <c r="Y117" s="32">
        <v>84</v>
      </c>
    </row>
    <row r="118" spans="24:25">
      <c r="X118" s="37">
        <v>45012</v>
      </c>
      <c r="Y118" s="32">
        <v>85</v>
      </c>
    </row>
    <row r="119" spans="24:25">
      <c r="X119" s="37">
        <v>45013</v>
      </c>
      <c r="Y119" s="32">
        <v>86</v>
      </c>
    </row>
    <row r="120" spans="24:25">
      <c r="X120" s="37">
        <v>45014</v>
      </c>
      <c r="Y120" s="32">
        <v>87</v>
      </c>
    </row>
    <row r="121" spans="24:25">
      <c r="X121" s="37">
        <v>45015</v>
      </c>
      <c r="Y121" s="32">
        <v>88</v>
      </c>
    </row>
    <row r="122" spans="24:25">
      <c r="X122" s="37">
        <v>45016</v>
      </c>
      <c r="Y122" s="32">
        <v>89</v>
      </c>
    </row>
    <row r="123" spans="24:25">
      <c r="X123" s="37">
        <v>45017</v>
      </c>
      <c r="Y123" s="32">
        <v>90</v>
      </c>
    </row>
    <row r="124" spans="24:25">
      <c r="X124" s="37">
        <v>45018</v>
      </c>
      <c r="Y124" s="32">
        <v>91</v>
      </c>
    </row>
    <row r="125" spans="24:25">
      <c r="X125" s="37">
        <v>45019</v>
      </c>
      <c r="Y125" s="32">
        <v>92</v>
      </c>
    </row>
    <row r="126" spans="24:25">
      <c r="X126" s="37">
        <v>45020</v>
      </c>
      <c r="Y126" s="32">
        <v>93</v>
      </c>
    </row>
    <row r="127" spans="24:25">
      <c r="X127" s="37">
        <v>45021</v>
      </c>
      <c r="Y127" s="32">
        <v>94</v>
      </c>
    </row>
    <row r="128" spans="24:25">
      <c r="X128" s="37">
        <v>45022</v>
      </c>
      <c r="Y128" s="32">
        <v>95</v>
      </c>
    </row>
    <row r="129" spans="24:25">
      <c r="X129" s="37">
        <v>45023</v>
      </c>
      <c r="Y129" s="32">
        <v>96</v>
      </c>
    </row>
    <row r="130" spans="24:25">
      <c r="X130" s="37">
        <v>45024</v>
      </c>
      <c r="Y130" s="32">
        <v>97</v>
      </c>
    </row>
    <row r="131" spans="24:25">
      <c r="X131" s="37">
        <v>45025</v>
      </c>
      <c r="Y131" s="32">
        <v>98</v>
      </c>
    </row>
    <row r="132" spans="24:25">
      <c r="X132" s="37">
        <v>45026</v>
      </c>
      <c r="Y132" s="32">
        <v>99</v>
      </c>
    </row>
    <row r="133" spans="24:25">
      <c r="X133" s="37">
        <v>45027</v>
      </c>
      <c r="Y133" s="32">
        <v>100</v>
      </c>
    </row>
    <row r="134" spans="24:25">
      <c r="X134" s="37">
        <v>45028</v>
      </c>
    </row>
    <row r="135" spans="24:25">
      <c r="X135" s="37">
        <v>45029</v>
      </c>
    </row>
    <row r="136" spans="24:25">
      <c r="X136" s="37">
        <v>45030</v>
      </c>
    </row>
    <row r="137" spans="24:25">
      <c r="X137" s="37">
        <v>45031</v>
      </c>
    </row>
    <row r="138" spans="24:25">
      <c r="X138" s="37">
        <v>45032</v>
      </c>
    </row>
    <row r="139" spans="24:25">
      <c r="X139" s="37">
        <v>45033</v>
      </c>
    </row>
    <row r="140" spans="24:25">
      <c r="X140" s="37">
        <v>45034</v>
      </c>
    </row>
    <row r="141" spans="24:25">
      <c r="X141" s="37">
        <v>45035</v>
      </c>
    </row>
    <row r="142" spans="24:25">
      <c r="X142" s="37">
        <v>45036</v>
      </c>
    </row>
    <row r="143" spans="24:25">
      <c r="X143" s="37">
        <v>45037</v>
      </c>
    </row>
    <row r="144" spans="24:25">
      <c r="X144" s="37">
        <v>45038</v>
      </c>
    </row>
    <row r="145" spans="24:24">
      <c r="X145" s="37">
        <v>45039</v>
      </c>
    </row>
    <row r="146" spans="24:24">
      <c r="X146" s="37">
        <v>45040</v>
      </c>
    </row>
    <row r="147" spans="24:24">
      <c r="X147" s="37">
        <v>45041</v>
      </c>
    </row>
    <row r="148" spans="24:24">
      <c r="X148" s="37">
        <v>45042</v>
      </c>
    </row>
    <row r="149" spans="24:24">
      <c r="X149" s="37">
        <v>45043</v>
      </c>
    </row>
    <row r="150" spans="24:24">
      <c r="X150" s="37">
        <v>45044</v>
      </c>
    </row>
    <row r="151" spans="24:24">
      <c r="X151" s="37">
        <v>45045</v>
      </c>
    </row>
    <row r="152" spans="24:24">
      <c r="X152" s="37">
        <v>45046</v>
      </c>
    </row>
    <row r="153" spans="24:24">
      <c r="X153" s="37">
        <v>45047</v>
      </c>
    </row>
    <row r="154" spans="24:24">
      <c r="X154" s="37">
        <v>45048</v>
      </c>
    </row>
    <row r="155" spans="24:24">
      <c r="X155" s="37">
        <v>45049</v>
      </c>
    </row>
    <row r="156" spans="24:24">
      <c r="X156" s="37">
        <v>45050</v>
      </c>
    </row>
    <row r="157" spans="24:24">
      <c r="X157" s="37">
        <v>45051</v>
      </c>
    </row>
    <row r="158" spans="24:24">
      <c r="X158" s="37">
        <v>45052</v>
      </c>
    </row>
    <row r="159" spans="24:24">
      <c r="X159" s="37">
        <v>45053</v>
      </c>
    </row>
    <row r="160" spans="24:24">
      <c r="X160" s="37">
        <v>45054</v>
      </c>
    </row>
    <row r="161" spans="24:24">
      <c r="X161" s="37">
        <v>45055</v>
      </c>
    </row>
    <row r="162" spans="24:24">
      <c r="X162" s="37">
        <v>45056</v>
      </c>
    </row>
    <row r="163" spans="24:24">
      <c r="X163" s="37">
        <v>45057</v>
      </c>
    </row>
    <row r="164" spans="24:24">
      <c r="X164" s="37">
        <v>45058</v>
      </c>
    </row>
    <row r="165" spans="24:24">
      <c r="X165" s="37">
        <v>45059</v>
      </c>
    </row>
    <row r="166" spans="24:24">
      <c r="X166" s="37">
        <v>45060</v>
      </c>
    </row>
    <row r="167" spans="24:24">
      <c r="X167" s="37">
        <v>45061</v>
      </c>
    </row>
    <row r="168" spans="24:24">
      <c r="X168" s="37">
        <v>45062</v>
      </c>
    </row>
    <row r="169" spans="24:24">
      <c r="X169" s="37">
        <v>45063</v>
      </c>
    </row>
    <row r="170" spans="24:24">
      <c r="X170" s="37">
        <v>45064</v>
      </c>
    </row>
    <row r="171" spans="24:24">
      <c r="X171" s="37">
        <v>45065</v>
      </c>
    </row>
    <row r="172" spans="24:24">
      <c r="X172" s="37">
        <v>45066</v>
      </c>
    </row>
    <row r="173" spans="24:24">
      <c r="X173" s="37">
        <v>45067</v>
      </c>
    </row>
    <row r="174" spans="24:24">
      <c r="X174" s="37">
        <v>45068</v>
      </c>
    </row>
    <row r="175" spans="24:24">
      <c r="X175" s="37">
        <v>45069</v>
      </c>
    </row>
    <row r="176" spans="24:24">
      <c r="X176" s="37">
        <v>45070</v>
      </c>
    </row>
    <row r="177" spans="24:24">
      <c r="X177" s="37">
        <v>45071</v>
      </c>
    </row>
    <row r="178" spans="24:24">
      <c r="X178" s="37">
        <v>45072</v>
      </c>
    </row>
    <row r="179" spans="24:24">
      <c r="X179" s="37">
        <v>45073</v>
      </c>
    </row>
    <row r="180" spans="24:24">
      <c r="X180" s="37">
        <v>45074</v>
      </c>
    </row>
    <row r="181" spans="24:24">
      <c r="X181" s="37">
        <v>45075</v>
      </c>
    </row>
    <row r="182" spans="24:24">
      <c r="X182" s="37">
        <v>45076</v>
      </c>
    </row>
    <row r="183" spans="24:24">
      <c r="X183" s="37">
        <v>45077</v>
      </c>
    </row>
    <row r="184" spans="24:24">
      <c r="X184" s="37">
        <v>45078</v>
      </c>
    </row>
    <row r="185" spans="24:24">
      <c r="X185" s="37">
        <v>45079</v>
      </c>
    </row>
    <row r="186" spans="24:24">
      <c r="X186" s="37">
        <v>45080</v>
      </c>
    </row>
    <row r="187" spans="24:24">
      <c r="X187" s="37">
        <v>45081</v>
      </c>
    </row>
    <row r="188" spans="24:24">
      <c r="X188" s="37">
        <v>45082</v>
      </c>
    </row>
    <row r="189" spans="24:24">
      <c r="X189" s="37">
        <v>45083</v>
      </c>
    </row>
    <row r="190" spans="24:24">
      <c r="X190" s="37">
        <v>45084</v>
      </c>
    </row>
    <row r="191" spans="24:24">
      <c r="X191" s="37">
        <v>45085</v>
      </c>
    </row>
    <row r="192" spans="24:24">
      <c r="X192" s="37">
        <v>45086</v>
      </c>
    </row>
    <row r="193" spans="24:24">
      <c r="X193" s="37">
        <v>45087</v>
      </c>
    </row>
    <row r="194" spans="24:24">
      <c r="X194" s="37">
        <v>45088</v>
      </c>
    </row>
    <row r="195" spans="24:24">
      <c r="X195" s="37">
        <v>45089</v>
      </c>
    </row>
    <row r="196" spans="24:24">
      <c r="X196" s="37">
        <v>45090</v>
      </c>
    </row>
    <row r="197" spans="24:24">
      <c r="X197" s="37">
        <v>45091</v>
      </c>
    </row>
    <row r="198" spans="24:24">
      <c r="X198" s="37">
        <v>45092</v>
      </c>
    </row>
    <row r="199" spans="24:24">
      <c r="X199" s="37">
        <v>45093</v>
      </c>
    </row>
    <row r="200" spans="24:24">
      <c r="X200" s="37">
        <v>45094</v>
      </c>
    </row>
    <row r="201" spans="24:24">
      <c r="X201" s="37">
        <v>45095</v>
      </c>
    </row>
    <row r="202" spans="24:24">
      <c r="X202" s="37">
        <v>45096</v>
      </c>
    </row>
    <row r="203" spans="24:24">
      <c r="X203" s="37">
        <v>45097</v>
      </c>
    </row>
    <row r="204" spans="24:24">
      <c r="X204" s="37">
        <v>45098</v>
      </c>
    </row>
    <row r="205" spans="24:24">
      <c r="X205" s="37">
        <v>45099</v>
      </c>
    </row>
    <row r="206" spans="24:24">
      <c r="X206" s="37">
        <v>45100</v>
      </c>
    </row>
    <row r="207" spans="24:24">
      <c r="X207" s="37">
        <v>45101</v>
      </c>
    </row>
    <row r="208" spans="24:24">
      <c r="X208" s="37">
        <v>45102</v>
      </c>
    </row>
    <row r="209" spans="24:24">
      <c r="X209" s="37">
        <v>45103</v>
      </c>
    </row>
    <row r="210" spans="24:24">
      <c r="X210" s="37">
        <v>45104</v>
      </c>
    </row>
    <row r="211" spans="24:24">
      <c r="X211" s="37">
        <v>45105</v>
      </c>
    </row>
    <row r="212" spans="24:24">
      <c r="X212" s="37">
        <v>45106</v>
      </c>
    </row>
    <row r="213" spans="24:24">
      <c r="X213" s="37">
        <v>45107</v>
      </c>
    </row>
    <row r="214" spans="24:24">
      <c r="X214" s="37">
        <v>45108</v>
      </c>
    </row>
    <row r="215" spans="24:24">
      <c r="X215" s="37">
        <v>45109</v>
      </c>
    </row>
    <row r="216" spans="24:24">
      <c r="X216" s="37">
        <v>45110</v>
      </c>
    </row>
    <row r="217" spans="24:24">
      <c r="X217" s="37">
        <v>45111</v>
      </c>
    </row>
    <row r="218" spans="24:24">
      <c r="X218" s="37">
        <v>45112</v>
      </c>
    </row>
    <row r="219" spans="24:24">
      <c r="X219" s="37">
        <v>45113</v>
      </c>
    </row>
    <row r="220" spans="24:24">
      <c r="X220" s="37">
        <v>45114</v>
      </c>
    </row>
    <row r="221" spans="24:24">
      <c r="X221" s="37">
        <v>45115</v>
      </c>
    </row>
    <row r="222" spans="24:24">
      <c r="X222" s="37">
        <v>45116</v>
      </c>
    </row>
    <row r="223" spans="24:24">
      <c r="X223" s="37">
        <v>45117</v>
      </c>
    </row>
    <row r="224" spans="24:24">
      <c r="X224" s="37">
        <v>45118</v>
      </c>
    </row>
    <row r="225" spans="24:24">
      <c r="X225" s="37">
        <v>45119</v>
      </c>
    </row>
    <row r="226" spans="24:24">
      <c r="X226" s="37">
        <v>45120</v>
      </c>
    </row>
    <row r="227" spans="24:24">
      <c r="X227" s="37">
        <v>45121</v>
      </c>
    </row>
    <row r="228" spans="24:24">
      <c r="X228" s="37">
        <v>45122</v>
      </c>
    </row>
    <row r="229" spans="24:24">
      <c r="X229" s="37">
        <v>45123</v>
      </c>
    </row>
    <row r="230" spans="24:24">
      <c r="X230" s="37">
        <v>45124</v>
      </c>
    </row>
    <row r="231" spans="24:24">
      <c r="X231" s="37">
        <v>45125</v>
      </c>
    </row>
    <row r="232" spans="24:24">
      <c r="X232" s="37">
        <v>45126</v>
      </c>
    </row>
    <row r="233" spans="24:24">
      <c r="X233" s="37">
        <v>45127</v>
      </c>
    </row>
    <row r="234" spans="24:24">
      <c r="X234" s="37">
        <v>45128</v>
      </c>
    </row>
    <row r="235" spans="24:24">
      <c r="X235" s="37">
        <v>45129</v>
      </c>
    </row>
    <row r="236" spans="24:24">
      <c r="X236" s="37">
        <v>45130</v>
      </c>
    </row>
    <row r="237" spans="24:24">
      <c r="X237" s="37">
        <v>45131</v>
      </c>
    </row>
    <row r="238" spans="24:24">
      <c r="X238" s="37">
        <v>45132</v>
      </c>
    </row>
    <row r="239" spans="24:24">
      <c r="X239" s="37">
        <v>45133</v>
      </c>
    </row>
    <row r="240" spans="24:24">
      <c r="X240" s="37">
        <v>45134</v>
      </c>
    </row>
    <row r="241" spans="24:24">
      <c r="X241" s="37">
        <v>45135</v>
      </c>
    </row>
    <row r="242" spans="24:24">
      <c r="X242" s="37">
        <v>45136</v>
      </c>
    </row>
    <row r="243" spans="24:24">
      <c r="X243" s="37">
        <v>45137</v>
      </c>
    </row>
    <row r="244" spans="24:24">
      <c r="X244" s="37">
        <v>45138</v>
      </c>
    </row>
    <row r="245" spans="24:24">
      <c r="X245" s="37">
        <v>45139</v>
      </c>
    </row>
    <row r="246" spans="24:24">
      <c r="X246" s="37">
        <v>45140</v>
      </c>
    </row>
    <row r="247" spans="24:24">
      <c r="X247" s="37">
        <v>45141</v>
      </c>
    </row>
    <row r="248" spans="24:24">
      <c r="X248" s="37">
        <v>45142</v>
      </c>
    </row>
    <row r="249" spans="24:24">
      <c r="X249" s="37">
        <v>45143</v>
      </c>
    </row>
    <row r="250" spans="24:24">
      <c r="X250" s="37">
        <v>45144</v>
      </c>
    </row>
    <row r="251" spans="24:24">
      <c r="X251" s="37">
        <v>45145</v>
      </c>
    </row>
    <row r="252" spans="24:24">
      <c r="X252" s="37">
        <v>45146</v>
      </c>
    </row>
    <row r="253" spans="24:24">
      <c r="X253" s="37">
        <v>45147</v>
      </c>
    </row>
    <row r="254" spans="24:24">
      <c r="X254" s="37">
        <v>45148</v>
      </c>
    </row>
    <row r="255" spans="24:24">
      <c r="X255" s="37">
        <v>45149</v>
      </c>
    </row>
    <row r="256" spans="24:24">
      <c r="X256" s="37">
        <v>45150</v>
      </c>
    </row>
    <row r="257" spans="24:24">
      <c r="X257" s="37">
        <v>45151</v>
      </c>
    </row>
    <row r="258" spans="24:24">
      <c r="X258" s="37">
        <v>45152</v>
      </c>
    </row>
    <row r="259" spans="24:24">
      <c r="X259" s="37">
        <v>45153</v>
      </c>
    </row>
    <row r="260" spans="24:24">
      <c r="X260" s="37">
        <v>45154</v>
      </c>
    </row>
    <row r="261" spans="24:24">
      <c r="X261" s="37">
        <v>45155</v>
      </c>
    </row>
    <row r="262" spans="24:24">
      <c r="X262" s="37">
        <v>45156</v>
      </c>
    </row>
    <row r="263" spans="24:24">
      <c r="X263" s="37">
        <v>45157</v>
      </c>
    </row>
    <row r="264" spans="24:24">
      <c r="X264" s="37">
        <v>45158</v>
      </c>
    </row>
    <row r="265" spans="24:24">
      <c r="X265" s="37">
        <v>45159</v>
      </c>
    </row>
    <row r="266" spans="24:24">
      <c r="X266" s="37">
        <v>45160</v>
      </c>
    </row>
    <row r="267" spans="24:24">
      <c r="X267" s="37">
        <v>45161</v>
      </c>
    </row>
    <row r="268" spans="24:24">
      <c r="X268" s="37">
        <v>45162</v>
      </c>
    </row>
    <row r="269" spans="24:24">
      <c r="X269" s="37">
        <v>45163</v>
      </c>
    </row>
    <row r="270" spans="24:24">
      <c r="X270" s="37">
        <v>45164</v>
      </c>
    </row>
    <row r="271" spans="24:24">
      <c r="X271" s="37">
        <v>45165</v>
      </c>
    </row>
    <row r="272" spans="24:24">
      <c r="X272" s="37">
        <v>45166</v>
      </c>
    </row>
    <row r="273" spans="24:24">
      <c r="X273" s="37">
        <v>45167</v>
      </c>
    </row>
    <row r="274" spans="24:24">
      <c r="X274" s="37">
        <v>45168</v>
      </c>
    </row>
    <row r="275" spans="24:24">
      <c r="X275" s="37">
        <v>45169</v>
      </c>
    </row>
    <row r="276" spans="24:24">
      <c r="X276" s="37">
        <v>45170</v>
      </c>
    </row>
    <row r="277" spans="24:24">
      <c r="X277" s="37">
        <v>45171</v>
      </c>
    </row>
    <row r="278" spans="24:24">
      <c r="X278" s="37">
        <v>45172</v>
      </c>
    </row>
    <row r="279" spans="24:24">
      <c r="X279" s="37">
        <v>45173</v>
      </c>
    </row>
    <row r="280" spans="24:24">
      <c r="X280" s="37">
        <v>45174</v>
      </c>
    </row>
    <row r="281" spans="24:24">
      <c r="X281" s="37">
        <v>45175</v>
      </c>
    </row>
    <row r="282" spans="24:24">
      <c r="X282" s="37">
        <v>45176</v>
      </c>
    </row>
    <row r="283" spans="24:24">
      <c r="X283" s="37">
        <v>45177</v>
      </c>
    </row>
    <row r="284" spans="24:24">
      <c r="X284" s="37">
        <v>45178</v>
      </c>
    </row>
    <row r="285" spans="24:24">
      <c r="X285" s="37">
        <v>45179</v>
      </c>
    </row>
    <row r="286" spans="24:24">
      <c r="X286" s="37">
        <v>45180</v>
      </c>
    </row>
    <row r="287" spans="24:24">
      <c r="X287" s="37">
        <v>45181</v>
      </c>
    </row>
    <row r="288" spans="24:24">
      <c r="X288" s="37">
        <v>45182</v>
      </c>
    </row>
    <row r="289" spans="24:24">
      <c r="X289" s="37">
        <v>45183</v>
      </c>
    </row>
    <row r="290" spans="24:24">
      <c r="X290" s="37">
        <v>45184</v>
      </c>
    </row>
    <row r="291" spans="24:24">
      <c r="X291" s="37">
        <v>45185</v>
      </c>
    </row>
    <row r="292" spans="24:24">
      <c r="X292" s="37">
        <v>45186</v>
      </c>
    </row>
    <row r="293" spans="24:24">
      <c r="X293" s="37">
        <v>45187</v>
      </c>
    </row>
    <row r="294" spans="24:24">
      <c r="X294" s="37">
        <v>45188</v>
      </c>
    </row>
    <row r="295" spans="24:24">
      <c r="X295" s="37">
        <v>45189</v>
      </c>
    </row>
    <row r="296" spans="24:24">
      <c r="X296" s="37">
        <v>45190</v>
      </c>
    </row>
    <row r="297" spans="24:24">
      <c r="X297" s="37">
        <v>45191</v>
      </c>
    </row>
    <row r="298" spans="24:24">
      <c r="X298" s="37">
        <v>45192</v>
      </c>
    </row>
    <row r="299" spans="24:24">
      <c r="X299" s="37">
        <v>45193</v>
      </c>
    </row>
    <row r="300" spans="24:24">
      <c r="X300" s="37">
        <v>45194</v>
      </c>
    </row>
    <row r="301" spans="24:24">
      <c r="X301" s="37">
        <v>45195</v>
      </c>
    </row>
    <row r="302" spans="24:24">
      <c r="X302" s="37">
        <v>45196</v>
      </c>
    </row>
    <row r="303" spans="24:24">
      <c r="X303" s="37">
        <v>45197</v>
      </c>
    </row>
    <row r="304" spans="24:24">
      <c r="X304" s="37">
        <v>45198</v>
      </c>
    </row>
    <row r="305" spans="24:24">
      <c r="X305" s="37">
        <v>45199</v>
      </c>
    </row>
    <row r="306" spans="24:24">
      <c r="X306" s="37">
        <v>45200</v>
      </c>
    </row>
    <row r="307" spans="24:24">
      <c r="X307" s="37">
        <v>45201</v>
      </c>
    </row>
    <row r="308" spans="24:24">
      <c r="X308" s="37">
        <v>45202</v>
      </c>
    </row>
    <row r="309" spans="24:24">
      <c r="X309" s="37">
        <v>45203</v>
      </c>
    </row>
    <row r="310" spans="24:24">
      <c r="X310" s="37">
        <v>45204</v>
      </c>
    </row>
    <row r="311" spans="24:24">
      <c r="X311" s="37">
        <v>45205</v>
      </c>
    </row>
    <row r="312" spans="24:24">
      <c r="X312" s="37">
        <v>45206</v>
      </c>
    </row>
    <row r="313" spans="24:24">
      <c r="X313" s="37">
        <v>45207</v>
      </c>
    </row>
    <row r="314" spans="24:24">
      <c r="X314" s="37">
        <v>45208</v>
      </c>
    </row>
    <row r="315" spans="24:24">
      <c r="X315" s="37">
        <v>45209</v>
      </c>
    </row>
    <row r="316" spans="24:24">
      <c r="X316" s="37">
        <v>45210</v>
      </c>
    </row>
    <row r="317" spans="24:24">
      <c r="X317" s="37">
        <v>45211</v>
      </c>
    </row>
    <row r="318" spans="24:24">
      <c r="X318" s="37">
        <v>45212</v>
      </c>
    </row>
    <row r="319" spans="24:24">
      <c r="X319" s="37">
        <v>45213</v>
      </c>
    </row>
    <row r="320" spans="24:24">
      <c r="X320" s="37">
        <v>45214</v>
      </c>
    </row>
    <row r="321" spans="24:24">
      <c r="X321" s="37">
        <v>45215</v>
      </c>
    </row>
    <row r="322" spans="24:24">
      <c r="X322" s="37">
        <v>45216</v>
      </c>
    </row>
    <row r="323" spans="24:24">
      <c r="X323" s="37">
        <v>45217</v>
      </c>
    </row>
    <row r="324" spans="24:24">
      <c r="X324" s="37">
        <v>45218</v>
      </c>
    </row>
    <row r="325" spans="24:24">
      <c r="X325" s="37">
        <v>45219</v>
      </c>
    </row>
    <row r="326" spans="24:24">
      <c r="X326" s="37">
        <v>45220</v>
      </c>
    </row>
    <row r="327" spans="24:24">
      <c r="X327" s="37">
        <v>45221</v>
      </c>
    </row>
    <row r="328" spans="24:24">
      <c r="X328" s="37">
        <v>45222</v>
      </c>
    </row>
    <row r="329" spans="24:24">
      <c r="X329" s="37">
        <v>45223</v>
      </c>
    </row>
    <row r="330" spans="24:24">
      <c r="X330" s="37">
        <v>45224</v>
      </c>
    </row>
    <row r="331" spans="24:24">
      <c r="X331" s="37">
        <v>45225</v>
      </c>
    </row>
    <row r="332" spans="24:24">
      <c r="X332" s="37">
        <v>45226</v>
      </c>
    </row>
    <row r="333" spans="24:24">
      <c r="X333" s="37">
        <v>45227</v>
      </c>
    </row>
    <row r="334" spans="24:24">
      <c r="X334" s="37">
        <v>45228</v>
      </c>
    </row>
    <row r="335" spans="24:24">
      <c r="X335" s="37">
        <v>45229</v>
      </c>
    </row>
    <row r="336" spans="24:24">
      <c r="X336" s="37">
        <v>45230</v>
      </c>
    </row>
    <row r="337" spans="24:24">
      <c r="X337" s="37">
        <v>45231</v>
      </c>
    </row>
    <row r="338" spans="24:24">
      <c r="X338" s="37">
        <v>45232</v>
      </c>
    </row>
    <row r="339" spans="24:24">
      <c r="X339" s="37">
        <v>45233</v>
      </c>
    </row>
    <row r="340" spans="24:24">
      <c r="X340" s="37">
        <v>45234</v>
      </c>
    </row>
    <row r="341" spans="24:24">
      <c r="X341" s="37">
        <v>45235</v>
      </c>
    </row>
    <row r="342" spans="24:24">
      <c r="X342" s="37">
        <v>45236</v>
      </c>
    </row>
    <row r="343" spans="24:24">
      <c r="X343" s="37">
        <v>45237</v>
      </c>
    </row>
    <row r="344" spans="24:24">
      <c r="X344" s="37">
        <v>45238</v>
      </c>
    </row>
    <row r="345" spans="24:24">
      <c r="X345" s="37">
        <v>45239</v>
      </c>
    </row>
    <row r="346" spans="24:24">
      <c r="X346" s="37">
        <v>45240</v>
      </c>
    </row>
    <row r="347" spans="24:24">
      <c r="X347" s="37">
        <v>45241</v>
      </c>
    </row>
    <row r="348" spans="24:24">
      <c r="X348" s="37">
        <v>45242</v>
      </c>
    </row>
    <row r="349" spans="24:24">
      <c r="X349" s="37">
        <v>45243</v>
      </c>
    </row>
    <row r="350" spans="24:24">
      <c r="X350" s="37">
        <v>45244</v>
      </c>
    </row>
    <row r="351" spans="24:24">
      <c r="X351" s="37">
        <v>45245</v>
      </c>
    </row>
    <row r="352" spans="24:24">
      <c r="X352" s="37">
        <v>45246</v>
      </c>
    </row>
    <row r="353" spans="24:24">
      <c r="X353" s="37">
        <v>45247</v>
      </c>
    </row>
    <row r="354" spans="24:24">
      <c r="X354" s="37">
        <v>45248</v>
      </c>
    </row>
    <row r="355" spans="24:24">
      <c r="X355" s="37">
        <v>45249</v>
      </c>
    </row>
    <row r="356" spans="24:24">
      <c r="X356" s="37">
        <v>45250</v>
      </c>
    </row>
    <row r="357" spans="24:24">
      <c r="X357" s="37">
        <v>45251</v>
      </c>
    </row>
    <row r="358" spans="24:24">
      <c r="X358" s="37">
        <v>45252</v>
      </c>
    </row>
    <row r="359" spans="24:24">
      <c r="X359" s="37">
        <v>45253</v>
      </c>
    </row>
    <row r="360" spans="24:24">
      <c r="X360" s="37">
        <v>45254</v>
      </c>
    </row>
    <row r="361" spans="24:24">
      <c r="X361" s="37">
        <v>45255</v>
      </c>
    </row>
    <row r="362" spans="24:24">
      <c r="X362" s="37">
        <v>45256</v>
      </c>
    </row>
    <row r="363" spans="24:24">
      <c r="X363" s="37">
        <v>45257</v>
      </c>
    </row>
    <row r="364" spans="24:24">
      <c r="X364" s="37">
        <v>45258</v>
      </c>
    </row>
    <row r="365" spans="24:24">
      <c r="X365" s="37">
        <v>45259</v>
      </c>
    </row>
    <row r="366" spans="24:24">
      <c r="X366" s="37">
        <v>45260</v>
      </c>
    </row>
    <row r="367" spans="24:24">
      <c r="X367" s="37">
        <v>45261</v>
      </c>
    </row>
    <row r="368" spans="24:24">
      <c r="X368" s="37">
        <v>45262</v>
      </c>
    </row>
    <row r="369" spans="24:24">
      <c r="X369" s="37">
        <v>45263</v>
      </c>
    </row>
    <row r="370" spans="24:24">
      <c r="X370" s="37">
        <v>45264</v>
      </c>
    </row>
    <row r="371" spans="24:24">
      <c r="X371" s="37">
        <v>45265</v>
      </c>
    </row>
    <row r="372" spans="24:24">
      <c r="X372" s="37">
        <v>45266</v>
      </c>
    </row>
    <row r="373" spans="24:24">
      <c r="X373" s="37">
        <v>45267</v>
      </c>
    </row>
    <row r="374" spans="24:24">
      <c r="X374" s="37">
        <v>45268</v>
      </c>
    </row>
    <row r="375" spans="24:24">
      <c r="X375" s="37">
        <v>45269</v>
      </c>
    </row>
    <row r="376" spans="24:24">
      <c r="X376" s="37">
        <v>45270</v>
      </c>
    </row>
    <row r="377" spans="24:24">
      <c r="X377" s="37">
        <v>45271</v>
      </c>
    </row>
    <row r="378" spans="24:24">
      <c r="X378" s="37">
        <v>45272</v>
      </c>
    </row>
    <row r="379" spans="24:24">
      <c r="X379" s="37">
        <v>45273</v>
      </c>
    </row>
    <row r="380" spans="24:24">
      <c r="X380" s="37">
        <v>45274</v>
      </c>
    </row>
    <row r="381" spans="24:24">
      <c r="X381" s="37">
        <v>45275</v>
      </c>
    </row>
    <row r="382" spans="24:24">
      <c r="X382" s="37">
        <v>45276</v>
      </c>
    </row>
    <row r="383" spans="24:24">
      <c r="X383" s="37">
        <v>45277</v>
      </c>
    </row>
    <row r="384" spans="24:24">
      <c r="X384" s="37">
        <v>45278</v>
      </c>
    </row>
    <row r="385" spans="24:24">
      <c r="X385" s="37">
        <v>45279</v>
      </c>
    </row>
    <row r="386" spans="24:24">
      <c r="X386" s="37">
        <v>45280</v>
      </c>
    </row>
    <row r="387" spans="24:24">
      <c r="X387" s="37">
        <v>45281</v>
      </c>
    </row>
    <row r="388" spans="24:24">
      <c r="X388" s="37">
        <v>45282</v>
      </c>
    </row>
    <row r="389" spans="24:24">
      <c r="X389" s="37">
        <v>45283</v>
      </c>
    </row>
    <row r="390" spans="24:24">
      <c r="X390" s="37">
        <v>45284</v>
      </c>
    </row>
    <row r="391" spans="24:24">
      <c r="X391" s="37">
        <v>45285</v>
      </c>
    </row>
    <row r="392" spans="24:24">
      <c r="X392" s="37">
        <v>45286</v>
      </c>
    </row>
    <row r="393" spans="24:24">
      <c r="X393" s="37">
        <v>45287</v>
      </c>
    </row>
    <row r="394" spans="24:24">
      <c r="X394" s="37">
        <v>45288</v>
      </c>
    </row>
    <row r="395" spans="24:24">
      <c r="X395" s="37">
        <v>45289</v>
      </c>
    </row>
    <row r="396" spans="24:24">
      <c r="X396" s="37">
        <v>45290</v>
      </c>
    </row>
    <row r="397" spans="24:24">
      <c r="X397" s="37">
        <v>45291</v>
      </c>
    </row>
    <row r="398" spans="24:24">
      <c r="X398" s="37">
        <v>45292</v>
      </c>
    </row>
    <row r="399" spans="24:24">
      <c r="X399" s="37">
        <v>45293</v>
      </c>
    </row>
    <row r="400" spans="24:24">
      <c r="X400" s="37">
        <v>45294</v>
      </c>
    </row>
    <row r="401" spans="24:24">
      <c r="X401" s="37">
        <v>45295</v>
      </c>
    </row>
    <row r="402" spans="24:24">
      <c r="X402" s="37">
        <v>45296</v>
      </c>
    </row>
    <row r="403" spans="24:24">
      <c r="X403" s="37">
        <v>45297</v>
      </c>
    </row>
    <row r="404" spans="24:24">
      <c r="X404" s="37">
        <v>45298</v>
      </c>
    </row>
    <row r="405" spans="24:24">
      <c r="X405" s="37">
        <v>45299</v>
      </c>
    </row>
    <row r="406" spans="24:24">
      <c r="X406" s="37">
        <v>45300</v>
      </c>
    </row>
    <row r="407" spans="24:24">
      <c r="X407" s="37">
        <v>45301</v>
      </c>
    </row>
    <row r="408" spans="24:24">
      <c r="X408" s="37">
        <v>45302</v>
      </c>
    </row>
    <row r="409" spans="24:24">
      <c r="X409" s="37">
        <v>45303</v>
      </c>
    </row>
    <row r="410" spans="24:24">
      <c r="X410" s="37">
        <v>45304</v>
      </c>
    </row>
    <row r="411" spans="24:24">
      <c r="X411" s="37">
        <v>45305</v>
      </c>
    </row>
    <row r="412" spans="24:24">
      <c r="X412" s="37">
        <v>45306</v>
      </c>
    </row>
    <row r="413" spans="24:24">
      <c r="X413" s="37">
        <v>45307</v>
      </c>
    </row>
    <row r="414" spans="24:24">
      <c r="X414" s="37">
        <v>45308</v>
      </c>
    </row>
    <row r="415" spans="24:24">
      <c r="X415" s="37">
        <v>45309</v>
      </c>
    </row>
    <row r="416" spans="24:24">
      <c r="X416" s="37">
        <v>45310</v>
      </c>
    </row>
    <row r="417" spans="24:24">
      <c r="X417" s="37">
        <v>45311</v>
      </c>
    </row>
    <row r="418" spans="24:24">
      <c r="X418" s="37">
        <v>45312</v>
      </c>
    </row>
    <row r="419" spans="24:24">
      <c r="X419" s="37">
        <v>45313</v>
      </c>
    </row>
    <row r="420" spans="24:24">
      <c r="X420" s="37">
        <v>45314</v>
      </c>
    </row>
    <row r="421" spans="24:24">
      <c r="X421" s="37">
        <v>45315</v>
      </c>
    </row>
    <row r="422" spans="24:24">
      <c r="X422" s="37">
        <v>45316</v>
      </c>
    </row>
    <row r="423" spans="24:24">
      <c r="X423" s="37">
        <v>45317</v>
      </c>
    </row>
    <row r="424" spans="24:24">
      <c r="X424" s="37">
        <v>45318</v>
      </c>
    </row>
    <row r="425" spans="24:24">
      <c r="X425" s="37">
        <v>45319</v>
      </c>
    </row>
    <row r="426" spans="24:24">
      <c r="X426" s="37">
        <v>45320</v>
      </c>
    </row>
    <row r="427" spans="24:24">
      <c r="X427" s="37">
        <v>45321</v>
      </c>
    </row>
    <row r="428" spans="24:24">
      <c r="X428" s="37">
        <v>45322</v>
      </c>
    </row>
    <row r="429" spans="24:24">
      <c r="X429" s="37">
        <v>45323</v>
      </c>
    </row>
    <row r="430" spans="24:24">
      <c r="X430" s="37">
        <v>45324</v>
      </c>
    </row>
    <row r="431" spans="24:24">
      <c r="X431" s="37">
        <v>45325</v>
      </c>
    </row>
    <row r="432" spans="24:24">
      <c r="X432" s="37">
        <v>45326</v>
      </c>
    </row>
    <row r="433" spans="24:24">
      <c r="X433" s="37">
        <v>45327</v>
      </c>
    </row>
    <row r="434" spans="24:24">
      <c r="X434" s="37">
        <v>45328</v>
      </c>
    </row>
    <row r="435" spans="24:24">
      <c r="X435" s="37">
        <v>45329</v>
      </c>
    </row>
    <row r="436" spans="24:24">
      <c r="X436" s="37">
        <v>45330</v>
      </c>
    </row>
    <row r="437" spans="24:24">
      <c r="X437" s="37">
        <v>45331</v>
      </c>
    </row>
    <row r="438" spans="24:24">
      <c r="X438" s="37">
        <v>45332</v>
      </c>
    </row>
    <row r="439" spans="24:24">
      <c r="X439" s="37">
        <v>45333</v>
      </c>
    </row>
    <row r="440" spans="24:24">
      <c r="X440" s="37">
        <v>45334</v>
      </c>
    </row>
    <row r="441" spans="24:24">
      <c r="X441" s="37">
        <v>45335</v>
      </c>
    </row>
    <row r="442" spans="24:24">
      <c r="X442" s="37">
        <v>45336</v>
      </c>
    </row>
    <row r="443" spans="24:24">
      <c r="X443" s="37">
        <v>45337</v>
      </c>
    </row>
    <row r="444" spans="24:24">
      <c r="X444" s="37">
        <v>45338</v>
      </c>
    </row>
    <row r="445" spans="24:24">
      <c r="X445" s="37">
        <v>45339</v>
      </c>
    </row>
    <row r="446" spans="24:24">
      <c r="X446" s="37">
        <v>45340</v>
      </c>
    </row>
    <row r="447" spans="24:24">
      <c r="X447" s="37">
        <v>45341</v>
      </c>
    </row>
    <row r="448" spans="24:24">
      <c r="X448" s="37">
        <v>45342</v>
      </c>
    </row>
    <row r="449" spans="24:24">
      <c r="X449" s="37">
        <v>45343</v>
      </c>
    </row>
    <row r="450" spans="24:24">
      <c r="X450" s="37">
        <v>45344</v>
      </c>
    </row>
    <row r="451" spans="24:24">
      <c r="X451" s="37">
        <v>45345</v>
      </c>
    </row>
    <row r="452" spans="24:24">
      <c r="X452" s="37">
        <v>45346</v>
      </c>
    </row>
    <row r="453" spans="24:24">
      <c r="X453" s="37">
        <v>45347</v>
      </c>
    </row>
    <row r="454" spans="24:24">
      <c r="X454" s="37">
        <v>45348</v>
      </c>
    </row>
    <row r="455" spans="24:24">
      <c r="X455" s="37">
        <v>45349</v>
      </c>
    </row>
    <row r="456" spans="24:24">
      <c r="X456" s="37">
        <v>45350</v>
      </c>
    </row>
    <row r="457" spans="24:24">
      <c r="X457" s="37">
        <v>45351</v>
      </c>
    </row>
    <row r="458" spans="24:24">
      <c r="X458" s="37">
        <v>45352</v>
      </c>
    </row>
    <row r="459" spans="24:24">
      <c r="X459" s="37">
        <v>45353</v>
      </c>
    </row>
    <row r="460" spans="24:24">
      <c r="X460" s="37">
        <v>45354</v>
      </c>
    </row>
    <row r="461" spans="24:24">
      <c r="X461" s="37">
        <v>45355</v>
      </c>
    </row>
    <row r="462" spans="24:24">
      <c r="X462" s="37">
        <v>45356</v>
      </c>
    </row>
    <row r="463" spans="24:24">
      <c r="X463" s="37">
        <v>45357</v>
      </c>
    </row>
    <row r="464" spans="24:24">
      <c r="X464" s="37">
        <v>45358</v>
      </c>
    </row>
    <row r="465" spans="24:24">
      <c r="X465" s="37">
        <v>45359</v>
      </c>
    </row>
    <row r="466" spans="24:24">
      <c r="X466" s="37">
        <v>45360</v>
      </c>
    </row>
    <row r="467" spans="24:24">
      <c r="X467" s="37">
        <v>45361</v>
      </c>
    </row>
    <row r="468" spans="24:24">
      <c r="X468" s="37">
        <v>45362</v>
      </c>
    </row>
    <row r="469" spans="24:24">
      <c r="X469" s="37">
        <v>45363</v>
      </c>
    </row>
    <row r="470" spans="24:24">
      <c r="X470" s="37">
        <v>45364</v>
      </c>
    </row>
    <row r="471" spans="24:24">
      <c r="X471" s="37">
        <v>45365</v>
      </c>
    </row>
    <row r="472" spans="24:24">
      <c r="X472" s="37">
        <v>45366</v>
      </c>
    </row>
    <row r="473" spans="24:24">
      <c r="X473" s="37">
        <v>45367</v>
      </c>
    </row>
    <row r="474" spans="24:24">
      <c r="X474" s="37">
        <v>45368</v>
      </c>
    </row>
    <row r="475" spans="24:24">
      <c r="X475" s="37">
        <v>45369</v>
      </c>
    </row>
    <row r="476" spans="24:24">
      <c r="X476" s="37">
        <v>45370</v>
      </c>
    </row>
    <row r="477" spans="24:24">
      <c r="X477" s="37">
        <v>45371</v>
      </c>
    </row>
    <row r="478" spans="24:24">
      <c r="X478" s="37">
        <v>45372</v>
      </c>
    </row>
    <row r="479" spans="24:24">
      <c r="X479" s="37">
        <v>45373</v>
      </c>
    </row>
    <row r="480" spans="24:24">
      <c r="X480" s="37">
        <v>45374</v>
      </c>
    </row>
    <row r="481" spans="24:24">
      <c r="X481" s="37">
        <v>45375</v>
      </c>
    </row>
    <row r="482" spans="24:24">
      <c r="X482" s="37">
        <v>45376</v>
      </c>
    </row>
    <row r="483" spans="24:24">
      <c r="X483" s="37">
        <v>45377</v>
      </c>
    </row>
    <row r="484" spans="24:24">
      <c r="X484" s="37">
        <v>45378</v>
      </c>
    </row>
    <row r="485" spans="24:24">
      <c r="X485" s="37">
        <v>45379</v>
      </c>
    </row>
    <row r="486" spans="24:24">
      <c r="X486" s="37">
        <v>45380</v>
      </c>
    </row>
    <row r="487" spans="24:24">
      <c r="X487" s="37">
        <v>45381</v>
      </c>
    </row>
    <row r="488" spans="24:24">
      <c r="X488" s="37">
        <v>45382</v>
      </c>
    </row>
    <row r="489" spans="24:24">
      <c r="X489" s="37">
        <v>45383</v>
      </c>
    </row>
    <row r="490" spans="24:24">
      <c r="X490" s="37">
        <v>45384</v>
      </c>
    </row>
    <row r="491" spans="24:24">
      <c r="X491" s="37">
        <v>45385</v>
      </c>
    </row>
    <row r="492" spans="24:24">
      <c r="X492" s="37">
        <v>45386</v>
      </c>
    </row>
    <row r="493" spans="24:24">
      <c r="X493" s="37">
        <v>45387</v>
      </c>
    </row>
    <row r="494" spans="24:24">
      <c r="X494" s="37">
        <v>45388</v>
      </c>
    </row>
    <row r="495" spans="24:24">
      <c r="X495" s="37">
        <v>45389</v>
      </c>
    </row>
    <row r="496" spans="24:24">
      <c r="X496" s="37">
        <v>45390</v>
      </c>
    </row>
    <row r="497" spans="24:24">
      <c r="X497" s="37">
        <v>45391</v>
      </c>
    </row>
    <row r="498" spans="24:24">
      <c r="X498" s="37">
        <v>45392</v>
      </c>
    </row>
    <row r="499" spans="24:24">
      <c r="X499" s="37">
        <v>45393</v>
      </c>
    </row>
    <row r="500" spans="24:24">
      <c r="X500" s="37">
        <v>45394</v>
      </c>
    </row>
    <row r="501" spans="24:24">
      <c r="X501" s="37">
        <v>45395</v>
      </c>
    </row>
    <row r="502" spans="24:24">
      <c r="X502" s="37">
        <v>45396</v>
      </c>
    </row>
    <row r="503" spans="24:24">
      <c r="X503" s="37">
        <v>45397</v>
      </c>
    </row>
    <row r="504" spans="24:24">
      <c r="X504" s="37">
        <v>45398</v>
      </c>
    </row>
    <row r="505" spans="24:24">
      <c r="X505" s="37">
        <v>45399</v>
      </c>
    </row>
    <row r="506" spans="24:24">
      <c r="X506" s="37">
        <v>45400</v>
      </c>
    </row>
    <row r="507" spans="24:24">
      <c r="X507" s="37">
        <v>45401</v>
      </c>
    </row>
    <row r="508" spans="24:24">
      <c r="X508" s="37">
        <v>45402</v>
      </c>
    </row>
    <row r="509" spans="24:24">
      <c r="X509" s="37">
        <v>45403</v>
      </c>
    </row>
    <row r="510" spans="24:24">
      <c r="X510" s="37">
        <v>45404</v>
      </c>
    </row>
    <row r="511" spans="24:24">
      <c r="X511" s="37">
        <v>45405</v>
      </c>
    </row>
    <row r="512" spans="24:24">
      <c r="X512" s="37">
        <v>45406</v>
      </c>
    </row>
    <row r="513" spans="24:24">
      <c r="X513" s="37">
        <v>45407</v>
      </c>
    </row>
    <row r="514" spans="24:24">
      <c r="X514" s="37">
        <v>45408</v>
      </c>
    </row>
    <row r="515" spans="24:24">
      <c r="X515" s="37">
        <v>45409</v>
      </c>
    </row>
    <row r="516" spans="24:24">
      <c r="X516" s="37">
        <v>45410</v>
      </c>
    </row>
    <row r="517" spans="24:24">
      <c r="X517" s="37">
        <v>45411</v>
      </c>
    </row>
    <row r="518" spans="24:24">
      <c r="X518" s="37">
        <v>45412</v>
      </c>
    </row>
    <row r="519" spans="24:24">
      <c r="X519" s="37">
        <v>45413</v>
      </c>
    </row>
    <row r="520" spans="24:24">
      <c r="X520" s="37">
        <v>45414</v>
      </c>
    </row>
    <row r="521" spans="24:24">
      <c r="X521" s="37">
        <v>45415</v>
      </c>
    </row>
    <row r="522" spans="24:24">
      <c r="X522" s="37">
        <v>45416</v>
      </c>
    </row>
    <row r="523" spans="24:24">
      <c r="X523" s="37">
        <v>45417</v>
      </c>
    </row>
    <row r="524" spans="24:24">
      <c r="X524" s="37">
        <v>45418</v>
      </c>
    </row>
    <row r="525" spans="24:24">
      <c r="X525" s="37">
        <v>45419</v>
      </c>
    </row>
    <row r="526" spans="24:24">
      <c r="X526" s="37">
        <v>45420</v>
      </c>
    </row>
    <row r="527" spans="24:24">
      <c r="X527" s="37">
        <v>45421</v>
      </c>
    </row>
    <row r="528" spans="24:24">
      <c r="X528" s="37">
        <v>45422</v>
      </c>
    </row>
    <row r="529" spans="24:24">
      <c r="X529" s="37">
        <v>45423</v>
      </c>
    </row>
    <row r="530" spans="24:24">
      <c r="X530" s="37">
        <v>45424</v>
      </c>
    </row>
    <row r="531" spans="24:24">
      <c r="X531" s="37">
        <v>45425</v>
      </c>
    </row>
    <row r="532" spans="24:24">
      <c r="X532" s="37">
        <v>45426</v>
      </c>
    </row>
    <row r="533" spans="24:24">
      <c r="X533" s="37">
        <v>45427</v>
      </c>
    </row>
    <row r="534" spans="24:24">
      <c r="X534" s="37">
        <v>45428</v>
      </c>
    </row>
    <row r="535" spans="24:24">
      <c r="X535" s="37">
        <v>45429</v>
      </c>
    </row>
    <row r="536" spans="24:24">
      <c r="X536" s="37">
        <v>45430</v>
      </c>
    </row>
    <row r="537" spans="24:24">
      <c r="X537" s="37">
        <v>45431</v>
      </c>
    </row>
    <row r="538" spans="24:24">
      <c r="X538" s="37">
        <v>45432</v>
      </c>
    </row>
    <row r="539" spans="24:24">
      <c r="X539" s="37">
        <v>45433</v>
      </c>
    </row>
    <row r="540" spans="24:24">
      <c r="X540" s="37">
        <v>45434</v>
      </c>
    </row>
    <row r="541" spans="24:24">
      <c r="X541" s="37">
        <v>45435</v>
      </c>
    </row>
    <row r="542" spans="24:24">
      <c r="X542" s="37">
        <v>45436</v>
      </c>
    </row>
    <row r="543" spans="24:24">
      <c r="X543" s="37">
        <v>45437</v>
      </c>
    </row>
    <row r="544" spans="24:24">
      <c r="X544" s="37">
        <v>45438</v>
      </c>
    </row>
    <row r="545" spans="24:24">
      <c r="X545" s="37">
        <v>45439</v>
      </c>
    </row>
    <row r="546" spans="24:24">
      <c r="X546" s="37">
        <v>45440</v>
      </c>
    </row>
    <row r="547" spans="24:24">
      <c r="X547" s="37">
        <v>45441</v>
      </c>
    </row>
    <row r="548" spans="24:24">
      <c r="X548" s="37">
        <v>45442</v>
      </c>
    </row>
    <row r="549" spans="24:24">
      <c r="X549" s="37">
        <v>45443</v>
      </c>
    </row>
    <row r="550" spans="24:24">
      <c r="X550" s="37">
        <v>45444</v>
      </c>
    </row>
    <row r="551" spans="24:24">
      <c r="X551" s="37">
        <v>45445</v>
      </c>
    </row>
    <row r="552" spans="24:24">
      <c r="X552" s="37">
        <v>45446</v>
      </c>
    </row>
    <row r="553" spans="24:24">
      <c r="X553" s="37">
        <v>45447</v>
      </c>
    </row>
    <row r="554" spans="24:24">
      <c r="X554" s="37">
        <v>45448</v>
      </c>
    </row>
    <row r="555" spans="24:24">
      <c r="X555" s="37">
        <v>45449</v>
      </c>
    </row>
    <row r="556" spans="24:24">
      <c r="X556" s="37">
        <v>45450</v>
      </c>
    </row>
    <row r="557" spans="24:24">
      <c r="X557" s="37">
        <v>45451</v>
      </c>
    </row>
    <row r="558" spans="24:24">
      <c r="X558" s="37">
        <v>45452</v>
      </c>
    </row>
    <row r="559" spans="24:24">
      <c r="X559" s="37">
        <v>45453</v>
      </c>
    </row>
    <row r="560" spans="24:24">
      <c r="X560" s="37">
        <v>45454</v>
      </c>
    </row>
    <row r="561" spans="24:24">
      <c r="X561" s="37">
        <v>45455</v>
      </c>
    </row>
    <row r="562" spans="24:24">
      <c r="X562" s="37">
        <v>45456</v>
      </c>
    </row>
    <row r="563" spans="24:24">
      <c r="X563" s="37">
        <v>45457</v>
      </c>
    </row>
    <row r="564" spans="24:24">
      <c r="X564" s="37">
        <v>45458</v>
      </c>
    </row>
    <row r="565" spans="24:24">
      <c r="X565" s="37">
        <v>45459</v>
      </c>
    </row>
    <row r="566" spans="24:24">
      <c r="X566" s="37">
        <v>45460</v>
      </c>
    </row>
    <row r="567" spans="24:24">
      <c r="X567" s="37">
        <v>45461</v>
      </c>
    </row>
    <row r="568" spans="24:24">
      <c r="X568" s="37">
        <v>45462</v>
      </c>
    </row>
    <row r="569" spans="24:24">
      <c r="X569" s="37">
        <v>45463</v>
      </c>
    </row>
    <row r="570" spans="24:24">
      <c r="X570" s="37">
        <v>45464</v>
      </c>
    </row>
    <row r="571" spans="24:24">
      <c r="X571" s="37">
        <v>45465</v>
      </c>
    </row>
    <row r="572" spans="24:24">
      <c r="X572" s="37">
        <v>45466</v>
      </c>
    </row>
    <row r="573" spans="24:24">
      <c r="X573" s="37">
        <v>45467</v>
      </c>
    </row>
    <row r="574" spans="24:24">
      <c r="X574" s="37">
        <v>45468</v>
      </c>
    </row>
    <row r="575" spans="24:24">
      <c r="X575" s="37">
        <v>45469</v>
      </c>
    </row>
    <row r="576" spans="24:24">
      <c r="X576" s="37">
        <v>45470</v>
      </c>
    </row>
    <row r="577" spans="24:24">
      <c r="X577" s="37">
        <v>45471</v>
      </c>
    </row>
    <row r="578" spans="24:24">
      <c r="X578" s="37">
        <v>45472</v>
      </c>
    </row>
    <row r="579" spans="24:24">
      <c r="X579" s="37">
        <v>45473</v>
      </c>
    </row>
    <row r="580" spans="24:24">
      <c r="X580" s="37">
        <v>45474</v>
      </c>
    </row>
    <row r="581" spans="24:24">
      <c r="X581" s="37">
        <v>45475</v>
      </c>
    </row>
    <row r="582" spans="24:24">
      <c r="X582" s="37">
        <v>45476</v>
      </c>
    </row>
    <row r="583" spans="24:24">
      <c r="X583" s="37">
        <v>45477</v>
      </c>
    </row>
    <row r="584" spans="24:24">
      <c r="X584" s="37">
        <v>45478</v>
      </c>
    </row>
    <row r="585" spans="24:24">
      <c r="X585" s="37">
        <v>45479</v>
      </c>
    </row>
    <row r="586" spans="24:24">
      <c r="X586" s="37">
        <v>45480</v>
      </c>
    </row>
    <row r="587" spans="24:24">
      <c r="X587" s="37">
        <v>45481</v>
      </c>
    </row>
    <row r="588" spans="24:24">
      <c r="X588" s="37">
        <v>45482</v>
      </c>
    </row>
    <row r="589" spans="24:24">
      <c r="X589" s="37">
        <v>45483</v>
      </c>
    </row>
    <row r="590" spans="24:24">
      <c r="X590" s="37">
        <v>45484</v>
      </c>
    </row>
    <row r="591" spans="24:24">
      <c r="X591" s="37">
        <v>45485</v>
      </c>
    </row>
    <row r="592" spans="24:24">
      <c r="X592" s="37">
        <v>45486</v>
      </c>
    </row>
    <row r="593" spans="24:24">
      <c r="X593" s="37">
        <v>45487</v>
      </c>
    </row>
    <row r="594" spans="24:24">
      <c r="X594" s="37">
        <v>45488</v>
      </c>
    </row>
    <row r="595" spans="24:24">
      <c r="X595" s="37">
        <v>45489</v>
      </c>
    </row>
    <row r="596" spans="24:24">
      <c r="X596" s="37">
        <v>45490</v>
      </c>
    </row>
    <row r="597" spans="24:24">
      <c r="X597" s="37">
        <v>45491</v>
      </c>
    </row>
    <row r="598" spans="24:24">
      <c r="X598" s="37">
        <v>45492</v>
      </c>
    </row>
    <row r="599" spans="24:24">
      <c r="X599" s="37">
        <v>45493</v>
      </c>
    </row>
    <row r="600" spans="24:24">
      <c r="X600" s="37">
        <v>45494</v>
      </c>
    </row>
    <row r="601" spans="24:24">
      <c r="X601" s="37">
        <v>45495</v>
      </c>
    </row>
    <row r="602" spans="24:24">
      <c r="X602" s="37">
        <v>45496</v>
      </c>
    </row>
    <row r="603" spans="24:24">
      <c r="X603" s="37">
        <v>45497</v>
      </c>
    </row>
    <row r="604" spans="24:24">
      <c r="X604" s="37">
        <v>45498</v>
      </c>
    </row>
    <row r="605" spans="24:24">
      <c r="X605" s="37">
        <v>45499</v>
      </c>
    </row>
    <row r="606" spans="24:24">
      <c r="X606" s="37">
        <v>45500</v>
      </c>
    </row>
    <row r="607" spans="24:24">
      <c r="X607" s="37">
        <v>45501</v>
      </c>
    </row>
    <row r="608" spans="24:24">
      <c r="X608" s="37">
        <v>45502</v>
      </c>
    </row>
    <row r="609" spans="24:24">
      <c r="X609" s="37">
        <v>45503</v>
      </c>
    </row>
    <row r="610" spans="24:24">
      <c r="X610" s="37">
        <v>45504</v>
      </c>
    </row>
    <row r="611" spans="24:24">
      <c r="X611" s="37">
        <v>45505</v>
      </c>
    </row>
    <row r="612" spans="24:24">
      <c r="X612" s="37">
        <v>45506</v>
      </c>
    </row>
    <row r="613" spans="24:24">
      <c r="X613" s="37">
        <v>45507</v>
      </c>
    </row>
    <row r="614" spans="24:24">
      <c r="X614" s="37">
        <v>45508</v>
      </c>
    </row>
    <row r="615" spans="24:24">
      <c r="X615" s="37">
        <v>45509</v>
      </c>
    </row>
    <row r="616" spans="24:24">
      <c r="X616" s="37">
        <v>45510</v>
      </c>
    </row>
    <row r="617" spans="24:24">
      <c r="X617" s="37">
        <v>45511</v>
      </c>
    </row>
    <row r="618" spans="24:24">
      <c r="X618" s="37">
        <v>45512</v>
      </c>
    </row>
    <row r="619" spans="24:24">
      <c r="X619" s="37">
        <v>45513</v>
      </c>
    </row>
    <row r="620" spans="24:24">
      <c r="X620" s="37">
        <v>45514</v>
      </c>
    </row>
    <row r="621" spans="24:24">
      <c r="X621" s="37">
        <v>45515</v>
      </c>
    </row>
    <row r="622" spans="24:24">
      <c r="X622" s="37">
        <v>45516</v>
      </c>
    </row>
    <row r="623" spans="24:24">
      <c r="X623" s="37">
        <v>45517</v>
      </c>
    </row>
    <row r="624" spans="24:24">
      <c r="X624" s="37">
        <v>45518</v>
      </c>
    </row>
    <row r="625" spans="24:24">
      <c r="X625" s="37">
        <v>45519</v>
      </c>
    </row>
    <row r="626" spans="24:24">
      <c r="X626" s="37">
        <v>45520</v>
      </c>
    </row>
    <row r="627" spans="24:24">
      <c r="X627" s="37">
        <v>45521</v>
      </c>
    </row>
    <row r="628" spans="24:24">
      <c r="X628" s="37">
        <v>45522</v>
      </c>
    </row>
    <row r="629" spans="24:24">
      <c r="X629" s="37">
        <v>45523</v>
      </c>
    </row>
    <row r="630" spans="24:24">
      <c r="X630" s="37">
        <v>45524</v>
      </c>
    </row>
    <row r="631" spans="24:24">
      <c r="X631" s="37">
        <v>45525</v>
      </c>
    </row>
    <row r="632" spans="24:24">
      <c r="X632" s="37">
        <v>45526</v>
      </c>
    </row>
    <row r="633" spans="24:24">
      <c r="X633" s="37">
        <v>45527</v>
      </c>
    </row>
    <row r="634" spans="24:24">
      <c r="X634" s="37">
        <v>45528</v>
      </c>
    </row>
    <row r="635" spans="24:24">
      <c r="X635" s="37">
        <v>45529</v>
      </c>
    </row>
    <row r="636" spans="24:24">
      <c r="X636" s="37">
        <v>45530</v>
      </c>
    </row>
    <row r="637" spans="24:24">
      <c r="X637" s="37">
        <v>45531</v>
      </c>
    </row>
    <row r="638" spans="24:24">
      <c r="X638" s="37">
        <v>45532</v>
      </c>
    </row>
    <row r="639" spans="24:24">
      <c r="X639" s="37">
        <v>45533</v>
      </c>
    </row>
    <row r="640" spans="24:24">
      <c r="X640" s="37">
        <v>45534</v>
      </c>
    </row>
    <row r="641" spans="24:24">
      <c r="X641" s="37">
        <v>45535</v>
      </c>
    </row>
    <row r="642" spans="24:24">
      <c r="X642" s="37">
        <v>45536</v>
      </c>
    </row>
    <row r="643" spans="24:24">
      <c r="X643" s="37">
        <v>45537</v>
      </c>
    </row>
    <row r="644" spans="24:24">
      <c r="X644" s="37">
        <v>45538</v>
      </c>
    </row>
    <row r="645" spans="24:24">
      <c r="X645" s="37">
        <v>45539</v>
      </c>
    </row>
    <row r="646" spans="24:24">
      <c r="X646" s="37">
        <v>45540</v>
      </c>
    </row>
    <row r="647" spans="24:24">
      <c r="X647" s="37">
        <v>45541</v>
      </c>
    </row>
    <row r="648" spans="24:24">
      <c r="X648" s="37">
        <v>45542</v>
      </c>
    </row>
    <row r="649" spans="24:24">
      <c r="X649" s="37">
        <v>45543</v>
      </c>
    </row>
    <row r="650" spans="24:24">
      <c r="X650" s="37">
        <v>45544</v>
      </c>
    </row>
    <row r="651" spans="24:24">
      <c r="X651" s="37">
        <v>45545</v>
      </c>
    </row>
    <row r="652" spans="24:24">
      <c r="X652" s="37">
        <v>45546</v>
      </c>
    </row>
    <row r="653" spans="24:24">
      <c r="X653" s="37">
        <v>45547</v>
      </c>
    </row>
    <row r="654" spans="24:24">
      <c r="X654" s="37">
        <v>45548</v>
      </c>
    </row>
    <row r="655" spans="24:24">
      <c r="X655" s="37">
        <v>45549</v>
      </c>
    </row>
    <row r="656" spans="24:24">
      <c r="X656" s="37">
        <v>45550</v>
      </c>
    </row>
    <row r="657" spans="24:24">
      <c r="X657" s="37">
        <v>45551</v>
      </c>
    </row>
    <row r="658" spans="24:24">
      <c r="X658" s="37">
        <v>45552</v>
      </c>
    </row>
    <row r="659" spans="24:24">
      <c r="X659" s="37">
        <v>45553</v>
      </c>
    </row>
    <row r="660" spans="24:24">
      <c r="X660" s="37">
        <v>45554</v>
      </c>
    </row>
    <row r="661" spans="24:24">
      <c r="X661" s="37">
        <v>45555</v>
      </c>
    </row>
    <row r="662" spans="24:24">
      <c r="X662" s="37">
        <v>45556</v>
      </c>
    </row>
    <row r="663" spans="24:24">
      <c r="X663" s="37">
        <v>45557</v>
      </c>
    </row>
    <row r="664" spans="24:24">
      <c r="X664" s="37">
        <v>45558</v>
      </c>
    </row>
    <row r="665" spans="24:24">
      <c r="X665" s="37">
        <v>45559</v>
      </c>
    </row>
    <row r="666" spans="24:24">
      <c r="X666" s="37">
        <v>45560</v>
      </c>
    </row>
    <row r="667" spans="24:24">
      <c r="X667" s="37">
        <v>45561</v>
      </c>
    </row>
    <row r="668" spans="24:24">
      <c r="X668" s="37">
        <v>45562</v>
      </c>
    </row>
    <row r="669" spans="24:24">
      <c r="X669" s="37">
        <v>45563</v>
      </c>
    </row>
    <row r="670" spans="24:24">
      <c r="X670" s="37">
        <v>45564</v>
      </c>
    </row>
    <row r="671" spans="24:24">
      <c r="X671" s="37">
        <v>45565</v>
      </c>
    </row>
    <row r="672" spans="24:24">
      <c r="X672" s="37">
        <v>45566</v>
      </c>
    </row>
    <row r="673" spans="24:24">
      <c r="X673" s="37">
        <v>45567</v>
      </c>
    </row>
    <row r="674" spans="24:24">
      <c r="X674" s="37">
        <v>45568</v>
      </c>
    </row>
    <row r="675" spans="24:24">
      <c r="X675" s="37">
        <v>45569</v>
      </c>
    </row>
    <row r="676" spans="24:24">
      <c r="X676" s="37">
        <v>45570</v>
      </c>
    </row>
    <row r="677" spans="24:24">
      <c r="X677" s="37">
        <v>45571</v>
      </c>
    </row>
    <row r="678" spans="24:24">
      <c r="X678" s="37">
        <v>45572</v>
      </c>
    </row>
    <row r="679" spans="24:24">
      <c r="X679" s="37">
        <v>45573</v>
      </c>
    </row>
    <row r="680" spans="24:24">
      <c r="X680" s="37">
        <v>45574</v>
      </c>
    </row>
    <row r="681" spans="24:24">
      <c r="X681" s="37">
        <v>45575</v>
      </c>
    </row>
    <row r="682" spans="24:24">
      <c r="X682" s="37">
        <v>45576</v>
      </c>
    </row>
    <row r="683" spans="24:24">
      <c r="X683" s="37">
        <v>45577</v>
      </c>
    </row>
    <row r="684" spans="24:24">
      <c r="X684" s="37">
        <v>45578</v>
      </c>
    </row>
    <row r="685" spans="24:24">
      <c r="X685" s="37">
        <v>45579</v>
      </c>
    </row>
    <row r="686" spans="24:24">
      <c r="X686" s="37">
        <v>45580</v>
      </c>
    </row>
    <row r="687" spans="24:24">
      <c r="X687" s="37">
        <v>45581</v>
      </c>
    </row>
    <row r="688" spans="24:24">
      <c r="X688" s="37">
        <v>45582</v>
      </c>
    </row>
    <row r="689" spans="24:24">
      <c r="X689" s="37">
        <v>45583</v>
      </c>
    </row>
    <row r="690" spans="24:24">
      <c r="X690" s="37">
        <v>45584</v>
      </c>
    </row>
    <row r="691" spans="24:24">
      <c r="X691" s="37">
        <v>45585</v>
      </c>
    </row>
    <row r="692" spans="24:24">
      <c r="X692" s="37">
        <v>45586</v>
      </c>
    </row>
    <row r="693" spans="24:24">
      <c r="X693" s="37">
        <v>45587</v>
      </c>
    </row>
    <row r="694" spans="24:24">
      <c r="X694" s="37">
        <v>45588</v>
      </c>
    </row>
    <row r="695" spans="24:24">
      <c r="X695" s="37">
        <v>45589</v>
      </c>
    </row>
    <row r="696" spans="24:24">
      <c r="X696" s="37">
        <v>45590</v>
      </c>
    </row>
    <row r="697" spans="24:24">
      <c r="X697" s="37">
        <v>45591</v>
      </c>
    </row>
    <row r="698" spans="24:24">
      <c r="X698" s="37">
        <v>45592</v>
      </c>
    </row>
    <row r="699" spans="24:24">
      <c r="X699" s="37">
        <v>45593</v>
      </c>
    </row>
    <row r="700" spans="24:24">
      <c r="X700" s="37">
        <v>45594</v>
      </c>
    </row>
    <row r="701" spans="24:24">
      <c r="X701" s="37">
        <v>45595</v>
      </c>
    </row>
    <row r="702" spans="24:24">
      <c r="X702" s="37">
        <v>45596</v>
      </c>
    </row>
    <row r="703" spans="24:24">
      <c r="X703" s="37">
        <v>45597</v>
      </c>
    </row>
    <row r="704" spans="24:24">
      <c r="X704" s="37">
        <v>45598</v>
      </c>
    </row>
    <row r="705" spans="24:24">
      <c r="X705" s="37">
        <v>45599</v>
      </c>
    </row>
    <row r="706" spans="24:24">
      <c r="X706" s="37">
        <v>45600</v>
      </c>
    </row>
    <row r="707" spans="24:24">
      <c r="X707" s="37">
        <v>45601</v>
      </c>
    </row>
    <row r="708" spans="24:24">
      <c r="X708" s="37">
        <v>45602</v>
      </c>
    </row>
    <row r="709" spans="24:24">
      <c r="X709" s="37">
        <v>45603</v>
      </c>
    </row>
    <row r="710" spans="24:24">
      <c r="X710" s="37">
        <v>45604</v>
      </c>
    </row>
    <row r="711" spans="24:24">
      <c r="X711" s="37">
        <v>45605</v>
      </c>
    </row>
    <row r="712" spans="24:24">
      <c r="X712" s="37">
        <v>45606</v>
      </c>
    </row>
    <row r="713" spans="24:24">
      <c r="X713" s="37">
        <v>45607</v>
      </c>
    </row>
    <row r="714" spans="24:24">
      <c r="X714" s="37">
        <v>45608</v>
      </c>
    </row>
    <row r="715" spans="24:24">
      <c r="X715" s="37">
        <v>45609</v>
      </c>
    </row>
    <row r="716" spans="24:24">
      <c r="X716" s="37">
        <v>45610</v>
      </c>
    </row>
    <row r="717" spans="24:24">
      <c r="X717" s="37">
        <v>45611</v>
      </c>
    </row>
    <row r="718" spans="24:24">
      <c r="X718" s="37">
        <v>45612</v>
      </c>
    </row>
    <row r="719" spans="24:24">
      <c r="X719" s="37">
        <v>45613</v>
      </c>
    </row>
    <row r="720" spans="24:24">
      <c r="X720" s="37">
        <v>45614</v>
      </c>
    </row>
    <row r="721" spans="24:24">
      <c r="X721" s="37">
        <v>45615</v>
      </c>
    </row>
    <row r="722" spans="24:24">
      <c r="X722" s="37">
        <v>45616</v>
      </c>
    </row>
    <row r="723" spans="24:24">
      <c r="X723" s="37">
        <v>45617</v>
      </c>
    </row>
    <row r="724" spans="24:24">
      <c r="X724" s="37">
        <v>45618</v>
      </c>
    </row>
    <row r="725" spans="24:24">
      <c r="X725" s="37">
        <v>45619</v>
      </c>
    </row>
    <row r="726" spans="24:24">
      <c r="X726" s="37">
        <v>45620</v>
      </c>
    </row>
    <row r="727" spans="24:24">
      <c r="X727" s="37">
        <v>45621</v>
      </c>
    </row>
    <row r="728" spans="24:24">
      <c r="X728" s="37">
        <v>45622</v>
      </c>
    </row>
    <row r="729" spans="24:24">
      <c r="X729" s="37">
        <v>45623</v>
      </c>
    </row>
    <row r="730" spans="24:24">
      <c r="X730" s="37">
        <v>45624</v>
      </c>
    </row>
    <row r="731" spans="24:24">
      <c r="X731" s="37">
        <v>45625</v>
      </c>
    </row>
    <row r="732" spans="24:24">
      <c r="X732" s="37">
        <v>45626</v>
      </c>
    </row>
    <row r="733" spans="24:24">
      <c r="X733" s="37">
        <v>45627</v>
      </c>
    </row>
    <row r="734" spans="24:24">
      <c r="X734" s="37"/>
    </row>
    <row r="735" spans="24:24">
      <c r="X735" s="37"/>
    </row>
    <row r="736" spans="24:24">
      <c r="X736" s="37"/>
    </row>
    <row r="737" spans="24:24">
      <c r="X737" s="37"/>
    </row>
    <row r="738" spans="24:24">
      <c r="X738" s="37"/>
    </row>
    <row r="739" spans="24:24">
      <c r="X739" s="37"/>
    </row>
    <row r="740" spans="24:24">
      <c r="X740" s="37"/>
    </row>
    <row r="741" spans="24:24">
      <c r="X741" s="37"/>
    </row>
    <row r="742" spans="24:24">
      <c r="X742" s="37"/>
    </row>
    <row r="743" spans="24:24">
      <c r="X743" s="37"/>
    </row>
    <row r="744" spans="24:24">
      <c r="X744" s="37"/>
    </row>
    <row r="745" spans="24:24">
      <c r="X745" s="37"/>
    </row>
    <row r="746" spans="24:24">
      <c r="X746" s="37"/>
    </row>
    <row r="747" spans="24:24">
      <c r="X747" s="37"/>
    </row>
    <row r="748" spans="24:24">
      <c r="X748" s="37"/>
    </row>
    <row r="749" spans="24:24">
      <c r="X749" s="37"/>
    </row>
    <row r="750" spans="24:24">
      <c r="X750" s="37"/>
    </row>
    <row r="751" spans="24:24">
      <c r="X751" s="37"/>
    </row>
    <row r="752" spans="24:24">
      <c r="X752" s="37"/>
    </row>
    <row r="753" spans="24:24">
      <c r="X753" s="37"/>
    </row>
    <row r="754" spans="24:24">
      <c r="X754" s="37"/>
    </row>
    <row r="755" spans="24:24">
      <c r="X755" s="37"/>
    </row>
    <row r="756" spans="24:24">
      <c r="X756" s="37"/>
    </row>
    <row r="757" spans="24:24">
      <c r="X757" s="37"/>
    </row>
    <row r="758" spans="24:24">
      <c r="X758" s="37"/>
    </row>
    <row r="759" spans="24:24">
      <c r="X759" s="37"/>
    </row>
    <row r="760" spans="24:24">
      <c r="X760" s="37"/>
    </row>
    <row r="761" spans="24:24">
      <c r="X761" s="37"/>
    </row>
    <row r="762" spans="24:24">
      <c r="X762" s="37"/>
    </row>
    <row r="763" spans="24:24">
      <c r="X763" s="37"/>
    </row>
  </sheetData>
  <sheetProtection algorithmName="SHA-512" hashValue="f2UO6llVgJSmrBVN48KRErL9oasOpMRYOWZm3phhir/P5z4t5/7lA4rB8x8FqwRulvlTENUyb1NjaoZl9NJiIw==" saltValue="c29ZbhxUoiwQ1AndZ4DtTg==" spinCount="100000" sheet="1" objects="1" scenarios="1"/>
  <sortState xmlns:xlrd2="http://schemas.microsoft.com/office/spreadsheetml/2017/richdata2" ref="W33:W58">
    <sortCondition ref="W33:W58"/>
  </sortState>
  <mergeCells count="13">
    <mergeCell ref="B1:I3"/>
    <mergeCell ref="C4:H5"/>
    <mergeCell ref="F15:G15"/>
    <mergeCell ref="F14:G14"/>
    <mergeCell ref="B20:F20"/>
    <mergeCell ref="B18:E19"/>
    <mergeCell ref="F7:I7"/>
    <mergeCell ref="F9:G9"/>
    <mergeCell ref="F10:G10"/>
    <mergeCell ref="F13:G13"/>
    <mergeCell ref="F16:I16"/>
    <mergeCell ref="F17:I17"/>
    <mergeCell ref="F12:I12"/>
  </mergeCells>
  <phoneticPr fontId="77" type="noConversion"/>
  <conditionalFormatting sqref="C38 F38 I38 L38 O38 R38">
    <cfRule type="cellIs" dxfId="50" priority="2" operator="equal">
      <formula>99999</formula>
    </cfRule>
  </conditionalFormatting>
  <conditionalFormatting sqref="F14:I14">
    <cfRule type="expression" dxfId="49" priority="6">
      <formula>AND($I$10="EUR",$H$10-$H$13*$K$14&lt;0,$F$14="Money lost in case purchasing ADFT (~):")</formula>
    </cfRule>
    <cfRule type="expression" dxfId="48" priority="7">
      <formula>AND($I$10="USD",$H$10-$H$13&lt;0,$F$14="Money lost in case purchasing ADFT (~):")</formula>
    </cfRule>
    <cfRule type="expression" dxfId="47" priority="16">
      <formula>IF($C$13-($C$15+$C$14)&gt;0,  AND($I$10="USD",$H$10-$H$13&gt;0, $F$14="Money saved in case purchasing ADFT (~):"))</formula>
    </cfRule>
    <cfRule type="expression" dxfId="46" priority="18">
      <formula>$H$14=0</formula>
    </cfRule>
  </conditionalFormatting>
  <conditionalFormatting sqref="F15:I15">
    <cfRule type="expression" dxfId="45" priority="1">
      <formula>$H$14&gt;MIN($H$9:$H$10)</formula>
    </cfRule>
  </conditionalFormatting>
  <dataValidations xWindow="303" yWindow="410" count="4">
    <dataValidation type="list" showErrorMessage="1" errorTitle="Error" error="Please enter a valid number._x000a__x000a_If you don't have an agreed Freetime with HL, keep here as 0." sqref="C15" xr:uid="{00000000-0002-0000-0000-000001000000}">
      <formula1>$Y$33:$Y$134</formula1>
    </dataValidation>
    <dataValidation type="list" allowBlank="1" showInputMessage="1" showErrorMessage="1" sqref="C9" xr:uid="{00000000-0002-0000-0000-000003000000}">
      <formula1>$W$31:$W$58</formula1>
    </dataValidation>
    <dataValidation type="list" allowBlank="1" showInputMessage="1" showErrorMessage="1" sqref="C10" xr:uid="{00000000-0002-0000-0000-000002000000}">
      <formula1>$V$32:$V$38</formula1>
    </dataValidation>
    <dataValidation type="list" allowBlank="1" showErrorMessage="1" error="Please check if the date is correct." prompt="Please enter a valid date value (MM/DD/YYYY)" sqref="C11:C12" xr:uid="{C36E2EA2-A290-4383-81BF-B157A13B55F8}">
      <formula1>$X$32:$X$763</formula1>
    </dataValidation>
  </dataValidations>
  <hyperlinks>
    <hyperlink ref="B20" r:id="rId1" location="anchor_otea782d" xr:uid="{C9EF3C9B-C674-4AAC-BF88-AB7315D284C2}"/>
    <hyperlink ref="B24" r:id="rId2" display="** https://www.hapag-lloyd.com/en/online-business/book/additional-freetime.html" xr:uid="{7C1F48FF-FF89-4D05-BA5F-3220DDF165FE}"/>
    <hyperlink ref="F17" r:id="rId3" location="/dashboard" display="https://solutions.hapag-lloyd.com/navigator/#/dashboard" xr:uid="{BF351943-CDB7-4EA1-9BD4-A4DE33704F9C}"/>
  </hyperlinks>
  <pageMargins left="0.7" right="0.7" top="0.75" bottom="0.75" header="0.3" footer="0.3"/>
  <pageSetup orientation="portrait" r:id="rId4"/>
  <drawing r:id="rId5"/>
  <legacy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T108"/>
  <sheetViews>
    <sheetView topLeftCell="A2" zoomScale="85" zoomScaleNormal="85" workbookViewId="0">
      <pane xSplit="1" ySplit="1" topLeftCell="B78" activePane="bottomRight" state="frozen"/>
      <selection activeCell="A2" sqref="A2"/>
      <selection pane="topRight" activeCell="B2" sqref="B2"/>
      <selection pane="bottomLeft" activeCell="A3" sqref="A3"/>
      <selection pane="bottomRight" activeCell="A37" sqref="A37:B39"/>
    </sheetView>
  </sheetViews>
  <sheetFormatPr defaultColWidth="9.140625" defaultRowHeight="15"/>
  <cols>
    <col min="1" max="1" width="11.140625" customWidth="1"/>
    <col min="2" max="2" width="11.28515625" bestFit="1" customWidth="1"/>
    <col min="3" max="4" width="12.42578125" bestFit="1" customWidth="1"/>
    <col min="5" max="5" width="13.7109375" bestFit="1" customWidth="1"/>
    <col min="6" max="8" width="15.42578125" bestFit="1" customWidth="1"/>
    <col min="9" max="10" width="11.85546875" bestFit="1" customWidth="1"/>
    <col min="11" max="11" width="13.7109375" bestFit="1" customWidth="1"/>
    <col min="12" max="14" width="15" bestFit="1" customWidth="1"/>
    <col min="15" max="16" width="11.28515625" bestFit="1" customWidth="1"/>
    <col min="17" max="17" width="13.7109375" bestFit="1" customWidth="1"/>
    <col min="18" max="20" width="14.28515625" bestFit="1" customWidth="1"/>
  </cols>
  <sheetData>
    <row r="1" spans="1:20">
      <c r="A1" s="2"/>
      <c r="B1" s="2"/>
      <c r="C1" s="7" t="s">
        <v>45</v>
      </c>
      <c r="D1" s="7" t="s">
        <v>45</v>
      </c>
      <c r="E1" s="7" t="s">
        <v>45</v>
      </c>
      <c r="F1" s="7" t="s">
        <v>52</v>
      </c>
      <c r="G1" s="7" t="s">
        <v>52</v>
      </c>
      <c r="H1" s="7" t="s">
        <v>52</v>
      </c>
      <c r="I1" s="7" t="s">
        <v>46</v>
      </c>
      <c r="J1" s="7" t="s">
        <v>46</v>
      </c>
      <c r="K1" s="7" t="s">
        <v>46</v>
      </c>
      <c r="L1" s="7" t="s">
        <v>53</v>
      </c>
      <c r="M1" s="7" t="s">
        <v>53</v>
      </c>
      <c r="N1" s="7" t="s">
        <v>53</v>
      </c>
      <c r="O1" s="7" t="s">
        <v>47</v>
      </c>
      <c r="P1" s="7" t="s">
        <v>47</v>
      </c>
      <c r="Q1" s="7" t="s">
        <v>47</v>
      </c>
      <c r="R1" s="7" t="s">
        <v>54</v>
      </c>
      <c r="S1" s="7" t="s">
        <v>54</v>
      </c>
      <c r="T1" s="7" t="s">
        <v>54</v>
      </c>
    </row>
    <row r="2" spans="1:20">
      <c r="A2" s="2" t="s">
        <v>44</v>
      </c>
      <c r="B2" s="2" t="s">
        <v>11</v>
      </c>
      <c r="C2" s="7" t="s">
        <v>2</v>
      </c>
      <c r="D2" s="7" t="s">
        <v>3</v>
      </c>
      <c r="E2" s="7" t="s">
        <v>4</v>
      </c>
      <c r="F2" s="7" t="s">
        <v>2</v>
      </c>
      <c r="G2" s="7" t="s">
        <v>3</v>
      </c>
      <c r="H2" s="7" t="s">
        <v>4</v>
      </c>
      <c r="I2" s="7" t="s">
        <v>2</v>
      </c>
      <c r="J2" s="7" t="s">
        <v>3</v>
      </c>
      <c r="K2" s="7" t="s">
        <v>4</v>
      </c>
      <c r="L2" s="7" t="s">
        <v>2</v>
      </c>
      <c r="M2" s="7" t="s">
        <v>3</v>
      </c>
      <c r="N2" s="7" t="s">
        <v>4</v>
      </c>
      <c r="O2" s="7" t="s">
        <v>2</v>
      </c>
      <c r="P2" s="7" t="s">
        <v>3</v>
      </c>
      <c r="Q2" s="7" t="s">
        <v>4</v>
      </c>
      <c r="R2" s="7" t="s">
        <v>2</v>
      </c>
      <c r="S2" s="7" t="s">
        <v>3</v>
      </c>
      <c r="T2" s="7" t="s">
        <v>4</v>
      </c>
    </row>
    <row r="3" spans="1:20" ht="17.25" customHeight="1">
      <c r="A3" s="235" t="s">
        <v>44</v>
      </c>
      <c r="B3" s="235" t="s">
        <v>11</v>
      </c>
      <c r="C3" s="60" t="s">
        <v>2</v>
      </c>
      <c r="D3" s="60" t="s">
        <v>3</v>
      </c>
      <c r="E3" s="60" t="s">
        <v>4</v>
      </c>
      <c r="F3" s="60" t="s">
        <v>2</v>
      </c>
      <c r="G3" s="60" t="s">
        <v>3</v>
      </c>
      <c r="H3" s="60" t="s">
        <v>4</v>
      </c>
      <c r="I3" s="60" t="s">
        <v>2</v>
      </c>
      <c r="J3" s="60" t="s">
        <v>3</v>
      </c>
      <c r="K3" s="60" t="s">
        <v>4</v>
      </c>
      <c r="L3" s="60" t="s">
        <v>2</v>
      </c>
      <c r="M3" s="60" t="s">
        <v>3</v>
      </c>
      <c r="N3" s="60" t="s">
        <v>4</v>
      </c>
      <c r="O3" s="60" t="s">
        <v>2</v>
      </c>
      <c r="P3" s="60" t="s">
        <v>3</v>
      </c>
      <c r="Q3" s="60" t="s">
        <v>4</v>
      </c>
      <c r="R3" s="60" t="s">
        <v>2</v>
      </c>
      <c r="S3" s="60" t="s">
        <v>3</v>
      </c>
      <c r="T3" s="60" t="s">
        <v>4</v>
      </c>
    </row>
    <row r="4" spans="1:20" ht="18.75">
      <c r="A4" s="236" t="s">
        <v>269</v>
      </c>
      <c r="B4" s="237" t="s">
        <v>1</v>
      </c>
      <c r="C4" s="63">
        <v>7</v>
      </c>
      <c r="D4" s="64"/>
      <c r="E4" s="63"/>
      <c r="F4" s="63">
        <v>7</v>
      </c>
      <c r="G4" s="64" t="s">
        <v>43</v>
      </c>
      <c r="H4" s="63"/>
      <c r="I4" s="63">
        <v>5</v>
      </c>
      <c r="J4" s="64" t="s">
        <v>43</v>
      </c>
      <c r="K4" s="63"/>
      <c r="L4" s="63">
        <v>5</v>
      </c>
      <c r="M4" s="64" t="s">
        <v>43</v>
      </c>
      <c r="N4" s="63"/>
      <c r="O4" s="63">
        <v>3</v>
      </c>
      <c r="P4" s="64" t="s">
        <v>43</v>
      </c>
      <c r="Q4" s="63"/>
      <c r="R4" s="63">
        <v>3</v>
      </c>
      <c r="S4" s="64"/>
      <c r="T4" s="63"/>
    </row>
    <row r="5" spans="1:20" ht="18.75">
      <c r="A5" s="236" t="s">
        <v>269</v>
      </c>
      <c r="B5" s="238" t="s">
        <v>5</v>
      </c>
      <c r="C5" s="66">
        <v>3</v>
      </c>
      <c r="D5" s="66" t="s">
        <v>6</v>
      </c>
      <c r="E5" s="66">
        <v>30</v>
      </c>
      <c r="F5" s="66">
        <v>3</v>
      </c>
      <c r="G5" s="66" t="s">
        <v>6</v>
      </c>
      <c r="H5" s="66">
        <v>45</v>
      </c>
      <c r="I5" s="66">
        <v>5</v>
      </c>
      <c r="J5" s="66" t="s">
        <v>6</v>
      </c>
      <c r="K5" s="66">
        <v>95</v>
      </c>
      <c r="L5" s="66">
        <v>5</v>
      </c>
      <c r="M5" s="66" t="s">
        <v>6</v>
      </c>
      <c r="N5" s="66">
        <v>100</v>
      </c>
      <c r="O5" s="66">
        <v>3</v>
      </c>
      <c r="P5" s="66" t="s">
        <v>6</v>
      </c>
      <c r="Q5" s="66">
        <v>120</v>
      </c>
      <c r="R5" s="66">
        <v>3</v>
      </c>
      <c r="S5" s="66" t="s">
        <v>6</v>
      </c>
      <c r="T5" s="66">
        <v>120</v>
      </c>
    </row>
    <row r="6" spans="1:20" ht="18.75">
      <c r="A6" s="236" t="s">
        <v>269</v>
      </c>
      <c r="B6" s="238" t="s">
        <v>7</v>
      </c>
      <c r="C6" s="66">
        <v>6</v>
      </c>
      <c r="D6" s="66" t="s">
        <v>6</v>
      </c>
      <c r="E6" s="66">
        <v>50</v>
      </c>
      <c r="F6" s="66">
        <v>6</v>
      </c>
      <c r="G6" s="66" t="s">
        <v>6</v>
      </c>
      <c r="H6" s="66">
        <v>75</v>
      </c>
      <c r="I6" s="66">
        <v>5</v>
      </c>
      <c r="J6" s="66" t="s">
        <v>6</v>
      </c>
      <c r="K6" s="66">
        <v>120</v>
      </c>
      <c r="L6" s="66">
        <v>5</v>
      </c>
      <c r="M6" s="66" t="s">
        <v>6</v>
      </c>
      <c r="N6" s="66">
        <v>200</v>
      </c>
      <c r="O6" s="66">
        <v>4</v>
      </c>
      <c r="P6" s="66" t="s">
        <v>6</v>
      </c>
      <c r="Q6" s="66">
        <v>150</v>
      </c>
      <c r="R6" s="66">
        <v>4</v>
      </c>
      <c r="S6" s="66" t="s">
        <v>6</v>
      </c>
      <c r="T6" s="66">
        <v>210</v>
      </c>
    </row>
    <row r="7" spans="1:20" ht="18.75">
      <c r="A7" s="236" t="s">
        <v>269</v>
      </c>
      <c r="B7" s="239" t="s">
        <v>0</v>
      </c>
      <c r="C7" s="54">
        <v>99999</v>
      </c>
      <c r="D7" s="68" t="s">
        <v>6</v>
      </c>
      <c r="E7" s="68">
        <v>75</v>
      </c>
      <c r="F7" s="54">
        <v>99999</v>
      </c>
      <c r="G7" s="68" t="s">
        <v>6</v>
      </c>
      <c r="H7" s="68">
        <v>110</v>
      </c>
      <c r="I7" s="54">
        <v>99999</v>
      </c>
      <c r="J7" s="68" t="s">
        <v>6</v>
      </c>
      <c r="K7" s="68">
        <v>190</v>
      </c>
      <c r="L7" s="54">
        <v>99999</v>
      </c>
      <c r="M7" s="68" t="s">
        <v>6</v>
      </c>
      <c r="N7" s="68">
        <v>220</v>
      </c>
      <c r="O7" s="54">
        <v>99999</v>
      </c>
      <c r="P7" s="68" t="s">
        <v>6</v>
      </c>
      <c r="Q7" s="68">
        <v>200</v>
      </c>
      <c r="R7" s="54">
        <v>99999</v>
      </c>
      <c r="S7" s="68" t="s">
        <v>6</v>
      </c>
      <c r="T7" s="68">
        <v>225</v>
      </c>
    </row>
    <row r="8" spans="1:20" ht="18.75">
      <c r="A8" s="240" t="s">
        <v>18</v>
      </c>
      <c r="B8" s="241" t="s">
        <v>1</v>
      </c>
      <c r="C8" s="72">
        <v>8</v>
      </c>
      <c r="D8" s="73"/>
      <c r="E8" s="72"/>
      <c r="F8" s="72">
        <v>8</v>
      </c>
      <c r="G8" s="73"/>
      <c r="H8" s="72"/>
      <c r="I8" s="72">
        <v>4</v>
      </c>
      <c r="J8" s="73"/>
      <c r="K8" s="72"/>
      <c r="L8" s="72">
        <v>4</v>
      </c>
      <c r="M8" s="73"/>
      <c r="N8" s="72"/>
      <c r="O8" s="72">
        <v>4</v>
      </c>
      <c r="P8" s="73"/>
      <c r="Q8" s="72"/>
      <c r="R8" s="72">
        <v>4</v>
      </c>
      <c r="S8" s="73"/>
      <c r="T8" s="72"/>
    </row>
    <row r="9" spans="1:20" ht="18.75">
      <c r="A9" s="240" t="s">
        <v>18</v>
      </c>
      <c r="B9" s="242" t="s">
        <v>5</v>
      </c>
      <c r="C9" s="76">
        <v>5</v>
      </c>
      <c r="D9" s="76" t="s">
        <v>19</v>
      </c>
      <c r="E9" s="76">
        <v>25</v>
      </c>
      <c r="F9" s="76">
        <v>5</v>
      </c>
      <c r="G9" s="76" t="s">
        <v>19</v>
      </c>
      <c r="H9" s="76">
        <v>40</v>
      </c>
      <c r="I9" s="76">
        <v>5</v>
      </c>
      <c r="J9" s="76" t="s">
        <v>19</v>
      </c>
      <c r="K9" s="76">
        <v>50</v>
      </c>
      <c r="L9" s="76">
        <v>5</v>
      </c>
      <c r="M9" s="76" t="s">
        <v>19</v>
      </c>
      <c r="N9" s="76">
        <v>70</v>
      </c>
      <c r="O9" s="76">
        <v>5</v>
      </c>
      <c r="P9" s="76" t="s">
        <v>19</v>
      </c>
      <c r="Q9" s="76">
        <v>75</v>
      </c>
      <c r="R9" s="76">
        <v>5</v>
      </c>
      <c r="S9" s="76" t="s">
        <v>19</v>
      </c>
      <c r="T9" s="76">
        <v>115</v>
      </c>
    </row>
    <row r="10" spans="1:20" ht="18.75">
      <c r="A10" s="240" t="s">
        <v>18</v>
      </c>
      <c r="B10" s="242" t="s">
        <v>7</v>
      </c>
      <c r="C10" s="76"/>
      <c r="D10" s="76" t="s">
        <v>19</v>
      </c>
      <c r="E10" s="86"/>
      <c r="F10" s="76"/>
      <c r="G10" s="76" t="s">
        <v>19</v>
      </c>
      <c r="H10" s="76"/>
      <c r="I10" s="76"/>
      <c r="J10" s="76" t="s">
        <v>19</v>
      </c>
      <c r="K10" s="76"/>
      <c r="L10" s="76"/>
      <c r="M10" s="76" t="s">
        <v>19</v>
      </c>
      <c r="N10" s="76"/>
      <c r="O10" s="76"/>
      <c r="P10" s="76" t="s">
        <v>19</v>
      </c>
      <c r="Q10" s="76"/>
      <c r="R10" s="76"/>
      <c r="S10" s="76" t="s">
        <v>19</v>
      </c>
      <c r="T10" s="76"/>
    </row>
    <row r="11" spans="1:20" ht="18.75">
      <c r="A11" s="240" t="s">
        <v>18</v>
      </c>
      <c r="B11" s="243" t="s">
        <v>0</v>
      </c>
      <c r="C11" s="54">
        <v>99999</v>
      </c>
      <c r="D11" s="76" t="s">
        <v>19</v>
      </c>
      <c r="E11" s="75">
        <v>35</v>
      </c>
      <c r="F11" s="54">
        <v>99999</v>
      </c>
      <c r="G11" s="76" t="s">
        <v>19</v>
      </c>
      <c r="H11" s="75">
        <v>60</v>
      </c>
      <c r="I11" s="54">
        <v>99999</v>
      </c>
      <c r="J11" s="76" t="s">
        <v>19</v>
      </c>
      <c r="K11" s="75">
        <v>70</v>
      </c>
      <c r="L11" s="54">
        <v>99999</v>
      </c>
      <c r="M11" s="76" t="s">
        <v>19</v>
      </c>
      <c r="N11" s="75">
        <v>110</v>
      </c>
      <c r="O11" s="54">
        <v>99999</v>
      </c>
      <c r="P11" s="76" t="s">
        <v>19</v>
      </c>
      <c r="Q11" s="75">
        <v>105</v>
      </c>
      <c r="R11" s="54">
        <v>99999</v>
      </c>
      <c r="S11" s="76" t="s">
        <v>19</v>
      </c>
      <c r="T11" s="75">
        <v>155</v>
      </c>
    </row>
    <row r="12" spans="1:20" ht="18.75">
      <c r="A12" s="236" t="s">
        <v>20</v>
      </c>
      <c r="B12" s="237" t="s">
        <v>1</v>
      </c>
      <c r="C12" s="63">
        <v>6</v>
      </c>
      <c r="D12" s="64" t="s">
        <v>43</v>
      </c>
      <c r="E12" s="63"/>
      <c r="F12" s="63">
        <v>6</v>
      </c>
      <c r="G12" s="64" t="s">
        <v>43</v>
      </c>
      <c r="H12" s="63"/>
      <c r="I12" s="63">
        <v>4</v>
      </c>
      <c r="J12" s="64" t="s">
        <v>43</v>
      </c>
      <c r="K12" s="63"/>
      <c r="L12" s="63">
        <v>4</v>
      </c>
      <c r="M12" s="64" t="s">
        <v>43</v>
      </c>
      <c r="N12" s="63"/>
      <c r="O12" s="63">
        <v>4</v>
      </c>
      <c r="P12" s="64" t="s">
        <v>43</v>
      </c>
      <c r="Q12" s="63"/>
      <c r="R12" s="63">
        <v>4</v>
      </c>
      <c r="S12" s="64" t="s">
        <v>43</v>
      </c>
      <c r="T12" s="63"/>
    </row>
    <row r="13" spans="1:20" ht="18.75">
      <c r="A13" s="236" t="s">
        <v>20</v>
      </c>
      <c r="B13" s="238" t="s">
        <v>5</v>
      </c>
      <c r="C13" s="66">
        <v>6</v>
      </c>
      <c r="D13" s="66" t="s">
        <v>6</v>
      </c>
      <c r="E13" s="66">
        <v>35</v>
      </c>
      <c r="F13" s="66">
        <v>6</v>
      </c>
      <c r="G13" s="66" t="s">
        <v>6</v>
      </c>
      <c r="H13" s="66">
        <v>60</v>
      </c>
      <c r="I13" s="66"/>
      <c r="J13" s="66" t="s">
        <v>6</v>
      </c>
      <c r="K13" s="66"/>
      <c r="L13" s="66"/>
      <c r="M13" s="66" t="s">
        <v>6</v>
      </c>
      <c r="N13" s="66"/>
      <c r="O13" s="66">
        <v>5</v>
      </c>
      <c r="P13" s="66" t="s">
        <v>6</v>
      </c>
      <c r="Q13" s="66">
        <v>50</v>
      </c>
      <c r="R13" s="66">
        <v>5</v>
      </c>
      <c r="S13" s="66" t="s">
        <v>6</v>
      </c>
      <c r="T13" s="66">
        <v>85</v>
      </c>
    </row>
    <row r="14" spans="1:20" ht="18.75">
      <c r="A14" s="236" t="s">
        <v>20</v>
      </c>
      <c r="B14" s="238" t="s">
        <v>7</v>
      </c>
      <c r="C14" s="66">
        <v>5</v>
      </c>
      <c r="D14" s="66" t="s">
        <v>6</v>
      </c>
      <c r="E14" s="66">
        <v>50</v>
      </c>
      <c r="F14" s="66">
        <v>5</v>
      </c>
      <c r="G14" s="66" t="s">
        <v>6</v>
      </c>
      <c r="H14" s="66">
        <v>100</v>
      </c>
      <c r="I14" s="66"/>
      <c r="J14" s="66" t="s">
        <v>6</v>
      </c>
      <c r="K14" s="66"/>
      <c r="L14" s="66"/>
      <c r="M14" s="66" t="s">
        <v>6</v>
      </c>
      <c r="N14" s="66"/>
      <c r="O14" s="66">
        <v>4</v>
      </c>
      <c r="P14" s="66" t="s">
        <v>6</v>
      </c>
      <c r="Q14" s="66">
        <v>90</v>
      </c>
      <c r="R14" s="66">
        <v>4</v>
      </c>
      <c r="S14" s="66" t="s">
        <v>6</v>
      </c>
      <c r="T14" s="66">
        <v>160</v>
      </c>
    </row>
    <row r="15" spans="1:20" ht="18.75">
      <c r="A15" s="236" t="s">
        <v>20</v>
      </c>
      <c r="B15" s="239" t="s">
        <v>0</v>
      </c>
      <c r="C15" s="54">
        <v>99999</v>
      </c>
      <c r="D15" s="68" t="s">
        <v>6</v>
      </c>
      <c r="E15" s="68">
        <v>80</v>
      </c>
      <c r="F15" s="54">
        <v>99999</v>
      </c>
      <c r="G15" s="68" t="s">
        <v>6</v>
      </c>
      <c r="H15" s="68">
        <v>145</v>
      </c>
      <c r="I15" s="54">
        <v>99999</v>
      </c>
      <c r="J15" s="68" t="s">
        <v>6</v>
      </c>
      <c r="K15" s="68">
        <v>100</v>
      </c>
      <c r="L15" s="54">
        <v>99999</v>
      </c>
      <c r="M15" s="68" t="s">
        <v>6</v>
      </c>
      <c r="N15" s="68">
        <v>170</v>
      </c>
      <c r="O15" s="54">
        <v>99999</v>
      </c>
      <c r="P15" s="68" t="s">
        <v>6</v>
      </c>
      <c r="Q15" s="68">
        <v>100</v>
      </c>
      <c r="R15" s="54">
        <v>99999</v>
      </c>
      <c r="S15" s="68" t="s">
        <v>6</v>
      </c>
      <c r="T15" s="68">
        <v>200</v>
      </c>
    </row>
    <row r="16" spans="1:20" ht="18.75">
      <c r="A16" s="240" t="s">
        <v>21</v>
      </c>
      <c r="B16" s="241" t="s">
        <v>1</v>
      </c>
      <c r="C16" s="72">
        <v>5</v>
      </c>
      <c r="D16" s="73" t="s">
        <v>43</v>
      </c>
      <c r="E16" s="72"/>
      <c r="F16" s="72">
        <v>5</v>
      </c>
      <c r="G16" s="73" t="s">
        <v>43</v>
      </c>
      <c r="H16" s="72"/>
      <c r="I16" s="72">
        <v>5</v>
      </c>
      <c r="J16" s="73" t="s">
        <v>43</v>
      </c>
      <c r="K16" s="72"/>
      <c r="L16" s="72">
        <v>5</v>
      </c>
      <c r="M16" s="73" t="s">
        <v>43</v>
      </c>
      <c r="N16" s="72"/>
      <c r="O16" s="72">
        <v>3</v>
      </c>
      <c r="P16" s="73" t="s">
        <v>43</v>
      </c>
      <c r="Q16" s="72"/>
      <c r="R16" s="72">
        <v>3</v>
      </c>
      <c r="S16" s="73" t="s">
        <v>43</v>
      </c>
      <c r="T16" s="72"/>
    </row>
    <row r="17" spans="1:20" ht="18.75">
      <c r="A17" s="240" t="s">
        <v>21</v>
      </c>
      <c r="B17" s="242" t="s">
        <v>5</v>
      </c>
      <c r="C17" s="76">
        <v>5</v>
      </c>
      <c r="D17" s="76" t="s">
        <v>19</v>
      </c>
      <c r="E17" s="76">
        <v>30</v>
      </c>
      <c r="F17" s="76">
        <v>5</v>
      </c>
      <c r="G17" s="76" t="s">
        <v>19</v>
      </c>
      <c r="H17" s="76">
        <v>45</v>
      </c>
      <c r="I17" s="76">
        <v>5</v>
      </c>
      <c r="J17" s="76" t="s">
        <v>19</v>
      </c>
      <c r="K17" s="76">
        <v>40</v>
      </c>
      <c r="L17" s="76">
        <v>5</v>
      </c>
      <c r="M17" s="76" t="s">
        <v>19</v>
      </c>
      <c r="N17" s="76">
        <v>65</v>
      </c>
      <c r="O17" s="76">
        <v>3</v>
      </c>
      <c r="P17" s="76" t="s">
        <v>19</v>
      </c>
      <c r="Q17" s="76">
        <v>70</v>
      </c>
      <c r="R17" s="76">
        <v>3</v>
      </c>
      <c r="S17" s="76" t="s">
        <v>19</v>
      </c>
      <c r="T17" s="76">
        <v>150</v>
      </c>
    </row>
    <row r="18" spans="1:20" ht="18.75">
      <c r="A18" s="240" t="s">
        <v>21</v>
      </c>
      <c r="B18" s="242" t="s">
        <v>7</v>
      </c>
      <c r="C18" s="76">
        <v>10</v>
      </c>
      <c r="D18" s="76" t="s">
        <v>19</v>
      </c>
      <c r="E18" s="76">
        <v>40</v>
      </c>
      <c r="F18" s="76">
        <v>10</v>
      </c>
      <c r="G18" s="76" t="s">
        <v>19</v>
      </c>
      <c r="H18" s="76">
        <v>65</v>
      </c>
      <c r="I18" s="76">
        <v>10</v>
      </c>
      <c r="J18" s="76" t="s">
        <v>19</v>
      </c>
      <c r="K18" s="76">
        <v>60</v>
      </c>
      <c r="L18" s="76">
        <v>10</v>
      </c>
      <c r="M18" s="76" t="s">
        <v>19</v>
      </c>
      <c r="N18" s="76">
        <v>90</v>
      </c>
      <c r="O18" s="76"/>
      <c r="P18" s="76" t="s">
        <v>19</v>
      </c>
      <c r="Q18" s="76"/>
      <c r="R18" s="76"/>
      <c r="S18" s="76" t="s">
        <v>19</v>
      </c>
      <c r="T18" s="76"/>
    </row>
    <row r="19" spans="1:20" ht="18.75">
      <c r="A19" s="240" t="s">
        <v>21</v>
      </c>
      <c r="B19" s="243" t="s">
        <v>0</v>
      </c>
      <c r="C19" s="54">
        <v>99999</v>
      </c>
      <c r="D19" s="76" t="s">
        <v>19</v>
      </c>
      <c r="E19" s="75">
        <v>70</v>
      </c>
      <c r="F19" s="54">
        <v>99999</v>
      </c>
      <c r="G19" s="76" t="s">
        <v>19</v>
      </c>
      <c r="H19" s="75">
        <v>100</v>
      </c>
      <c r="I19" s="54">
        <v>99999</v>
      </c>
      <c r="J19" s="76" t="s">
        <v>19</v>
      </c>
      <c r="K19" s="75">
        <v>80</v>
      </c>
      <c r="L19" s="54">
        <v>99999</v>
      </c>
      <c r="M19" s="76" t="s">
        <v>19</v>
      </c>
      <c r="N19" s="75">
        <v>110</v>
      </c>
      <c r="O19" s="54">
        <v>99999</v>
      </c>
      <c r="P19" s="76" t="s">
        <v>19</v>
      </c>
      <c r="Q19" s="75">
        <v>110</v>
      </c>
      <c r="R19" s="54">
        <v>99999</v>
      </c>
      <c r="S19" s="76" t="s">
        <v>19</v>
      </c>
      <c r="T19" s="75">
        <v>200</v>
      </c>
    </row>
    <row r="20" spans="1:20" ht="18.75">
      <c r="A20" s="236" t="s">
        <v>270</v>
      </c>
      <c r="B20" s="237" t="s">
        <v>1</v>
      </c>
      <c r="C20" s="63">
        <v>5</v>
      </c>
      <c r="D20" s="64" t="s">
        <v>43</v>
      </c>
      <c r="E20" s="63"/>
      <c r="F20" s="63">
        <v>5</v>
      </c>
      <c r="G20" s="64" t="s">
        <v>43</v>
      </c>
      <c r="H20" s="63"/>
      <c r="I20" s="63">
        <v>5</v>
      </c>
      <c r="J20" s="64" t="s">
        <v>43</v>
      </c>
      <c r="K20" s="63"/>
      <c r="L20" s="63">
        <v>5</v>
      </c>
      <c r="M20" s="64" t="s">
        <v>43</v>
      </c>
      <c r="N20" s="63"/>
      <c r="O20" s="63">
        <v>3</v>
      </c>
      <c r="P20" s="64" t="s">
        <v>43</v>
      </c>
      <c r="Q20" s="63"/>
      <c r="R20" s="63">
        <v>3</v>
      </c>
      <c r="S20" s="64" t="s">
        <v>43</v>
      </c>
      <c r="T20" s="63"/>
    </row>
    <row r="21" spans="1:20" ht="18.75">
      <c r="A21" s="236" t="s">
        <v>270</v>
      </c>
      <c r="B21" s="238" t="s">
        <v>5</v>
      </c>
      <c r="C21" s="66">
        <v>5</v>
      </c>
      <c r="D21" s="66" t="s">
        <v>19</v>
      </c>
      <c r="E21" s="66">
        <v>30</v>
      </c>
      <c r="F21" s="66">
        <v>5</v>
      </c>
      <c r="G21" s="66" t="s">
        <v>19</v>
      </c>
      <c r="H21" s="66">
        <v>45</v>
      </c>
      <c r="I21" s="66">
        <v>9</v>
      </c>
      <c r="J21" s="66" t="s">
        <v>19</v>
      </c>
      <c r="K21" s="66">
        <v>40</v>
      </c>
      <c r="L21" s="66">
        <v>9</v>
      </c>
      <c r="M21" s="66" t="s">
        <v>19</v>
      </c>
      <c r="N21" s="66">
        <v>65</v>
      </c>
      <c r="O21" s="66">
        <v>3</v>
      </c>
      <c r="P21" s="66" t="s">
        <v>19</v>
      </c>
      <c r="Q21" s="66">
        <v>80</v>
      </c>
      <c r="R21" s="66">
        <v>3</v>
      </c>
      <c r="S21" s="66" t="s">
        <v>19</v>
      </c>
      <c r="T21" s="66">
        <v>90</v>
      </c>
    </row>
    <row r="22" spans="1:20" ht="18.75">
      <c r="A22" s="236" t="s">
        <v>270</v>
      </c>
      <c r="B22" s="238" t="s">
        <v>7</v>
      </c>
      <c r="C22" s="66">
        <v>10</v>
      </c>
      <c r="D22" s="66" t="s">
        <v>19</v>
      </c>
      <c r="E22" s="66">
        <v>40</v>
      </c>
      <c r="F22" s="66">
        <v>10</v>
      </c>
      <c r="G22" s="66" t="s">
        <v>19</v>
      </c>
      <c r="H22" s="66">
        <v>65</v>
      </c>
      <c r="I22" s="66">
        <v>6</v>
      </c>
      <c r="J22" s="66" t="s">
        <v>19</v>
      </c>
      <c r="K22" s="66">
        <v>60</v>
      </c>
      <c r="L22" s="66">
        <v>6</v>
      </c>
      <c r="M22" s="66" t="s">
        <v>19</v>
      </c>
      <c r="N22" s="66">
        <v>90</v>
      </c>
      <c r="O22" s="66"/>
      <c r="P22" s="66" t="s">
        <v>19</v>
      </c>
      <c r="Q22" s="66"/>
      <c r="R22" s="66"/>
      <c r="S22" s="66" t="s">
        <v>19</v>
      </c>
      <c r="T22" s="66"/>
    </row>
    <row r="23" spans="1:20" ht="18.75">
      <c r="A23" s="236" t="s">
        <v>270</v>
      </c>
      <c r="B23" s="239" t="s">
        <v>0</v>
      </c>
      <c r="C23" s="54">
        <v>99999</v>
      </c>
      <c r="D23" s="66" t="s">
        <v>19</v>
      </c>
      <c r="E23" s="68">
        <v>70</v>
      </c>
      <c r="F23" s="54">
        <v>99999</v>
      </c>
      <c r="G23" s="66" t="s">
        <v>19</v>
      </c>
      <c r="H23" s="68">
        <v>100</v>
      </c>
      <c r="I23" s="54">
        <v>99999</v>
      </c>
      <c r="J23" s="66" t="s">
        <v>19</v>
      </c>
      <c r="K23" s="68">
        <v>80</v>
      </c>
      <c r="L23" s="54">
        <v>99999</v>
      </c>
      <c r="M23" s="66" t="s">
        <v>19</v>
      </c>
      <c r="N23" s="68">
        <v>110</v>
      </c>
      <c r="O23" s="54">
        <v>99999</v>
      </c>
      <c r="P23" s="66" t="s">
        <v>19</v>
      </c>
      <c r="Q23" s="68">
        <v>110</v>
      </c>
      <c r="R23" s="54">
        <v>99999</v>
      </c>
      <c r="S23" s="66" t="s">
        <v>19</v>
      </c>
      <c r="T23" s="68">
        <v>140</v>
      </c>
    </row>
    <row r="24" spans="1:20" ht="18.75">
      <c r="A24" s="240" t="s">
        <v>22</v>
      </c>
      <c r="B24" s="241" t="s">
        <v>1</v>
      </c>
      <c r="C24" s="72">
        <v>10</v>
      </c>
      <c r="D24" s="73" t="s">
        <v>43</v>
      </c>
      <c r="E24" s="72"/>
      <c r="F24" s="72">
        <v>10</v>
      </c>
      <c r="G24" s="73" t="s">
        <v>43</v>
      </c>
      <c r="H24" s="72"/>
      <c r="I24" s="72">
        <v>10</v>
      </c>
      <c r="J24" s="73" t="s">
        <v>43</v>
      </c>
      <c r="K24" s="72"/>
      <c r="L24" s="72">
        <v>10</v>
      </c>
      <c r="M24" s="73" t="s">
        <v>43</v>
      </c>
      <c r="N24" s="72"/>
      <c r="O24" s="72">
        <v>5</v>
      </c>
      <c r="P24" s="73" t="s">
        <v>43</v>
      </c>
      <c r="Q24" s="72"/>
      <c r="R24" s="72">
        <v>5</v>
      </c>
      <c r="S24" s="73" t="s">
        <v>43</v>
      </c>
      <c r="T24" s="72"/>
    </row>
    <row r="25" spans="1:20" ht="18.75">
      <c r="A25" s="240" t="s">
        <v>22</v>
      </c>
      <c r="B25" s="242" t="s">
        <v>5</v>
      </c>
      <c r="C25" s="76">
        <v>20</v>
      </c>
      <c r="D25" s="76" t="s">
        <v>6</v>
      </c>
      <c r="E25" s="76">
        <v>5</v>
      </c>
      <c r="F25" s="76">
        <v>20</v>
      </c>
      <c r="G25" s="76" t="s">
        <v>6</v>
      </c>
      <c r="H25" s="76">
        <v>8</v>
      </c>
      <c r="I25" s="76">
        <v>14</v>
      </c>
      <c r="J25" s="76" t="s">
        <v>6</v>
      </c>
      <c r="K25" s="76">
        <v>20</v>
      </c>
      <c r="L25" s="76">
        <v>14</v>
      </c>
      <c r="M25" s="76" t="s">
        <v>6</v>
      </c>
      <c r="N25" s="76">
        <v>40</v>
      </c>
      <c r="O25" s="76">
        <v>3</v>
      </c>
      <c r="P25" s="76" t="s">
        <v>6</v>
      </c>
      <c r="Q25" s="76">
        <v>30</v>
      </c>
      <c r="R25" s="76">
        <v>3</v>
      </c>
      <c r="S25" s="76" t="s">
        <v>6</v>
      </c>
      <c r="T25" s="76">
        <v>60</v>
      </c>
    </row>
    <row r="26" spans="1:20" ht="18.75">
      <c r="A26" s="240" t="s">
        <v>22</v>
      </c>
      <c r="B26" s="242" t="s">
        <v>7</v>
      </c>
      <c r="C26" s="76"/>
      <c r="D26" s="76" t="s">
        <v>6</v>
      </c>
      <c r="E26" s="76"/>
      <c r="F26" s="76"/>
      <c r="G26" s="76" t="s">
        <v>6</v>
      </c>
      <c r="H26" s="76"/>
      <c r="I26" s="76"/>
      <c r="J26" s="76" t="s">
        <v>6</v>
      </c>
      <c r="K26" s="76"/>
      <c r="L26" s="76"/>
      <c r="M26" s="76" t="s">
        <v>6</v>
      </c>
      <c r="N26" s="76"/>
      <c r="O26" s="76"/>
      <c r="P26" s="76" t="s">
        <v>6</v>
      </c>
      <c r="Q26" s="76"/>
      <c r="R26" s="76"/>
      <c r="S26" s="76" t="s">
        <v>6</v>
      </c>
      <c r="T26" s="76"/>
    </row>
    <row r="27" spans="1:20" ht="18.75">
      <c r="A27" s="240" t="s">
        <v>22</v>
      </c>
      <c r="B27" s="243" t="s">
        <v>0</v>
      </c>
      <c r="C27" s="54">
        <v>99999</v>
      </c>
      <c r="D27" s="76" t="s">
        <v>6</v>
      </c>
      <c r="E27" s="75">
        <v>8</v>
      </c>
      <c r="F27" s="54">
        <v>99999</v>
      </c>
      <c r="G27" s="76" t="s">
        <v>6</v>
      </c>
      <c r="H27" s="75">
        <v>12</v>
      </c>
      <c r="I27" s="54">
        <v>99999</v>
      </c>
      <c r="J27" s="76" t="s">
        <v>6</v>
      </c>
      <c r="K27" s="75">
        <v>40</v>
      </c>
      <c r="L27" s="54">
        <v>99999</v>
      </c>
      <c r="M27" s="76" t="s">
        <v>6</v>
      </c>
      <c r="N27" s="75">
        <v>80</v>
      </c>
      <c r="O27" s="54">
        <v>99999</v>
      </c>
      <c r="P27" s="76" t="s">
        <v>6</v>
      </c>
      <c r="Q27" s="75">
        <v>60</v>
      </c>
      <c r="R27" s="54">
        <v>99999</v>
      </c>
      <c r="S27" s="76" t="s">
        <v>6</v>
      </c>
      <c r="T27" s="75">
        <v>120</v>
      </c>
    </row>
    <row r="28" spans="1:20" ht="18.75">
      <c r="A28" s="236" t="s">
        <v>23</v>
      </c>
      <c r="B28" s="237" t="s">
        <v>1</v>
      </c>
      <c r="C28" s="63">
        <v>12</v>
      </c>
      <c r="D28" s="64" t="s">
        <v>43</v>
      </c>
      <c r="E28" s="63"/>
      <c r="F28" s="63">
        <v>12</v>
      </c>
      <c r="G28" s="64" t="s">
        <v>43</v>
      </c>
      <c r="H28" s="63"/>
      <c r="I28" s="63">
        <v>12</v>
      </c>
      <c r="J28" s="64" t="s">
        <v>43</v>
      </c>
      <c r="K28" s="63"/>
      <c r="L28" s="63">
        <v>12</v>
      </c>
      <c r="M28" s="64" t="s">
        <v>43</v>
      </c>
      <c r="N28" s="63"/>
      <c r="O28" s="63">
        <v>4</v>
      </c>
      <c r="P28" s="64" t="s">
        <v>43</v>
      </c>
      <c r="Q28" s="63"/>
      <c r="R28" s="63">
        <v>4</v>
      </c>
      <c r="S28" s="64" t="s">
        <v>43</v>
      </c>
      <c r="T28" s="63"/>
    </row>
    <row r="29" spans="1:20" ht="18.75">
      <c r="A29" s="236" t="s">
        <v>23</v>
      </c>
      <c r="B29" s="238" t="s">
        <v>5</v>
      </c>
      <c r="C29" s="66">
        <v>9</v>
      </c>
      <c r="D29" s="66" t="s">
        <v>24</v>
      </c>
      <c r="E29" s="66">
        <v>35</v>
      </c>
      <c r="F29" s="66">
        <v>9</v>
      </c>
      <c r="G29" s="66" t="s">
        <v>24</v>
      </c>
      <c r="H29" s="66">
        <v>65</v>
      </c>
      <c r="I29" s="66">
        <v>9</v>
      </c>
      <c r="J29" s="66" t="s">
        <v>24</v>
      </c>
      <c r="K29" s="66">
        <v>60</v>
      </c>
      <c r="L29" s="66">
        <v>9</v>
      </c>
      <c r="M29" s="66" t="s">
        <v>24</v>
      </c>
      <c r="N29" s="66">
        <v>100</v>
      </c>
      <c r="O29" s="66">
        <v>1</v>
      </c>
      <c r="P29" s="66" t="s">
        <v>24</v>
      </c>
      <c r="Q29" s="66">
        <v>228</v>
      </c>
      <c r="R29" s="66">
        <v>1</v>
      </c>
      <c r="S29" s="66" t="s">
        <v>24</v>
      </c>
      <c r="T29" s="66">
        <v>228</v>
      </c>
    </row>
    <row r="30" spans="1:20" ht="18.75">
      <c r="A30" s="236" t="s">
        <v>23</v>
      </c>
      <c r="B30" s="238" t="s">
        <v>7</v>
      </c>
      <c r="C30" s="66">
        <v>1</v>
      </c>
      <c r="D30" s="66" t="s">
        <v>24</v>
      </c>
      <c r="E30" s="66">
        <v>40</v>
      </c>
      <c r="F30" s="66">
        <v>1</v>
      </c>
      <c r="G30" s="66" t="s">
        <v>24</v>
      </c>
      <c r="H30" s="66">
        <v>75</v>
      </c>
      <c r="I30" s="66">
        <v>1</v>
      </c>
      <c r="J30" s="66" t="s">
        <v>24</v>
      </c>
      <c r="K30" s="66">
        <v>65</v>
      </c>
      <c r="L30" s="66">
        <v>1</v>
      </c>
      <c r="M30" s="66" t="s">
        <v>24</v>
      </c>
      <c r="N30" s="66">
        <v>130</v>
      </c>
      <c r="O30" s="66">
        <v>1</v>
      </c>
      <c r="P30" s="66" t="s">
        <v>24</v>
      </c>
      <c r="Q30" s="66">
        <v>228</v>
      </c>
      <c r="R30" s="66">
        <v>1</v>
      </c>
      <c r="S30" s="66" t="s">
        <v>24</v>
      </c>
      <c r="T30" s="66">
        <v>228</v>
      </c>
    </row>
    <row r="31" spans="1:20" ht="18.75">
      <c r="A31" s="236" t="s">
        <v>23</v>
      </c>
      <c r="B31" s="238" t="s">
        <v>0</v>
      </c>
      <c r="C31" s="54">
        <v>99999</v>
      </c>
      <c r="D31" s="66" t="s">
        <v>24</v>
      </c>
      <c r="E31" s="66">
        <v>40</v>
      </c>
      <c r="F31" s="54">
        <v>99999</v>
      </c>
      <c r="G31" s="66" t="s">
        <v>24</v>
      </c>
      <c r="H31" s="66">
        <v>75</v>
      </c>
      <c r="I31" s="54">
        <v>99999</v>
      </c>
      <c r="J31" s="66" t="s">
        <v>24</v>
      </c>
      <c r="K31" s="66">
        <v>65</v>
      </c>
      <c r="L31" s="54">
        <v>99999</v>
      </c>
      <c r="M31" s="66" t="s">
        <v>24</v>
      </c>
      <c r="N31" s="66">
        <v>130</v>
      </c>
      <c r="O31" s="54">
        <v>99999</v>
      </c>
      <c r="P31" s="66" t="s">
        <v>24</v>
      </c>
      <c r="Q31" s="66">
        <v>228</v>
      </c>
      <c r="R31" s="54">
        <v>99999</v>
      </c>
      <c r="S31" s="66" t="s">
        <v>24</v>
      </c>
      <c r="T31" s="66">
        <v>228</v>
      </c>
    </row>
    <row r="32" spans="1:20" ht="18.75">
      <c r="A32" s="240" t="s">
        <v>25</v>
      </c>
      <c r="B32" s="241" t="s">
        <v>1</v>
      </c>
      <c r="C32" s="72">
        <v>15</v>
      </c>
      <c r="D32" s="73" t="s">
        <v>43</v>
      </c>
      <c r="E32" s="72"/>
      <c r="F32" s="72">
        <v>15</v>
      </c>
      <c r="G32" s="73" t="s">
        <v>43</v>
      </c>
      <c r="H32" s="72"/>
      <c r="I32" s="72">
        <v>5</v>
      </c>
      <c r="J32" s="73" t="s">
        <v>43</v>
      </c>
      <c r="K32" s="72"/>
      <c r="L32" s="72">
        <v>5</v>
      </c>
      <c r="M32" s="73" t="s">
        <v>43</v>
      </c>
      <c r="N32" s="72"/>
      <c r="O32" s="72">
        <v>3</v>
      </c>
      <c r="P32" s="73" t="s">
        <v>43</v>
      </c>
      <c r="Q32" s="72"/>
      <c r="R32" s="72">
        <v>3</v>
      </c>
      <c r="S32" s="73" t="s">
        <v>43</v>
      </c>
      <c r="T32" s="72"/>
    </row>
    <row r="33" spans="1:20" ht="18.75">
      <c r="A33" s="240" t="s">
        <v>25</v>
      </c>
      <c r="B33" s="242" t="s">
        <v>5</v>
      </c>
      <c r="C33" s="76">
        <v>7</v>
      </c>
      <c r="D33" s="76" t="s">
        <v>6</v>
      </c>
      <c r="E33" s="76">
        <v>30</v>
      </c>
      <c r="F33" s="76">
        <v>7</v>
      </c>
      <c r="G33" s="76" t="s">
        <v>6</v>
      </c>
      <c r="H33" s="76">
        <v>60</v>
      </c>
      <c r="I33" s="76">
        <v>3</v>
      </c>
      <c r="J33" s="76" t="s">
        <v>6</v>
      </c>
      <c r="K33" s="76">
        <v>25</v>
      </c>
      <c r="L33" s="76">
        <v>3</v>
      </c>
      <c r="M33" s="76" t="s">
        <v>6</v>
      </c>
      <c r="N33" s="76">
        <v>50</v>
      </c>
      <c r="O33" s="76">
        <v>8</v>
      </c>
      <c r="P33" s="76" t="s">
        <v>6</v>
      </c>
      <c r="Q33" s="76">
        <v>60</v>
      </c>
      <c r="R33" s="76">
        <v>8</v>
      </c>
      <c r="S33" s="76" t="s">
        <v>6</v>
      </c>
      <c r="T33" s="76">
        <v>110</v>
      </c>
    </row>
    <row r="34" spans="1:20" ht="18.75">
      <c r="A34" s="240" t="s">
        <v>25</v>
      </c>
      <c r="B34" s="242" t="s">
        <v>7</v>
      </c>
      <c r="C34" s="76">
        <v>38</v>
      </c>
      <c r="D34" s="76" t="s">
        <v>6</v>
      </c>
      <c r="E34" s="76">
        <v>55</v>
      </c>
      <c r="F34" s="76">
        <v>38</v>
      </c>
      <c r="G34" s="76" t="s">
        <v>6</v>
      </c>
      <c r="H34" s="76">
        <v>110</v>
      </c>
      <c r="I34" s="76">
        <v>10</v>
      </c>
      <c r="J34" s="76" t="s">
        <v>6</v>
      </c>
      <c r="K34" s="76">
        <v>50</v>
      </c>
      <c r="L34" s="76">
        <v>10</v>
      </c>
      <c r="M34" s="76" t="s">
        <v>6</v>
      </c>
      <c r="N34" s="76">
        <v>100</v>
      </c>
      <c r="O34" s="76"/>
      <c r="P34" s="76" t="s">
        <v>6</v>
      </c>
      <c r="Q34" s="76"/>
      <c r="R34" s="76"/>
      <c r="S34" s="76" t="s">
        <v>6</v>
      </c>
      <c r="T34" s="76"/>
    </row>
    <row r="35" spans="1:20" ht="18.75">
      <c r="A35" s="240" t="s">
        <v>25</v>
      </c>
      <c r="B35" s="243" t="s">
        <v>0</v>
      </c>
      <c r="C35" s="54">
        <v>99999</v>
      </c>
      <c r="D35" s="76" t="s">
        <v>6</v>
      </c>
      <c r="E35" s="75">
        <v>70</v>
      </c>
      <c r="F35" s="54">
        <v>99999</v>
      </c>
      <c r="G35" s="76" t="s">
        <v>6</v>
      </c>
      <c r="H35" s="75">
        <v>130</v>
      </c>
      <c r="I35" s="54">
        <v>99999</v>
      </c>
      <c r="J35" s="76" t="s">
        <v>6</v>
      </c>
      <c r="K35" s="75">
        <v>70</v>
      </c>
      <c r="L35" s="54">
        <v>99999</v>
      </c>
      <c r="M35" s="76" t="s">
        <v>6</v>
      </c>
      <c r="N35" s="75">
        <v>140</v>
      </c>
      <c r="O35" s="54">
        <v>99999</v>
      </c>
      <c r="P35" s="76" t="s">
        <v>6</v>
      </c>
      <c r="Q35" s="75">
        <v>120</v>
      </c>
      <c r="R35" s="54">
        <v>99999</v>
      </c>
      <c r="S35" s="76" t="s">
        <v>6</v>
      </c>
      <c r="T35" s="75">
        <v>240</v>
      </c>
    </row>
    <row r="36" spans="1:20" ht="18.75">
      <c r="A36" s="236" t="s">
        <v>26</v>
      </c>
      <c r="B36" s="237" t="s">
        <v>1</v>
      </c>
      <c r="C36" s="63">
        <v>10</v>
      </c>
      <c r="D36" s="64" t="s">
        <v>43</v>
      </c>
      <c r="E36" s="63"/>
      <c r="F36" s="63">
        <v>10</v>
      </c>
      <c r="G36" s="64" t="s">
        <v>43</v>
      </c>
      <c r="H36" s="63"/>
      <c r="I36" s="63">
        <v>10</v>
      </c>
      <c r="J36" s="64" t="s">
        <v>43</v>
      </c>
      <c r="K36" s="63"/>
      <c r="L36" s="63">
        <v>10</v>
      </c>
      <c r="M36" s="64" t="s">
        <v>43</v>
      </c>
      <c r="N36" s="63"/>
      <c r="O36" s="63">
        <v>10</v>
      </c>
      <c r="P36" s="64" t="s">
        <v>43</v>
      </c>
      <c r="Q36" s="63"/>
      <c r="R36" s="63">
        <v>10</v>
      </c>
      <c r="S36" s="64" t="s">
        <v>43</v>
      </c>
      <c r="T36" s="63"/>
    </row>
    <row r="37" spans="1:20" ht="18.75">
      <c r="A37" s="236" t="s">
        <v>26</v>
      </c>
      <c r="B37" s="238" t="s">
        <v>5</v>
      </c>
      <c r="C37" s="66">
        <v>7</v>
      </c>
      <c r="D37" s="66" t="s">
        <v>19</v>
      </c>
      <c r="E37" s="66">
        <v>15</v>
      </c>
      <c r="F37" s="66">
        <v>7</v>
      </c>
      <c r="G37" s="66" t="s">
        <v>19</v>
      </c>
      <c r="H37" s="66">
        <v>25</v>
      </c>
      <c r="I37" s="66">
        <v>7</v>
      </c>
      <c r="J37" s="66" t="s">
        <v>19</v>
      </c>
      <c r="K37" s="66">
        <v>15</v>
      </c>
      <c r="L37" s="66">
        <v>7</v>
      </c>
      <c r="M37" s="66" t="s">
        <v>19</v>
      </c>
      <c r="N37" s="66">
        <v>30</v>
      </c>
      <c r="O37" s="66">
        <v>4</v>
      </c>
      <c r="P37" s="66" t="s">
        <v>19</v>
      </c>
      <c r="Q37" s="66">
        <v>40</v>
      </c>
      <c r="R37" s="66">
        <v>4</v>
      </c>
      <c r="S37" s="66" t="s">
        <v>19</v>
      </c>
      <c r="T37" s="66">
        <v>60</v>
      </c>
    </row>
    <row r="38" spans="1:20" ht="18.75">
      <c r="A38" s="236" t="s">
        <v>26</v>
      </c>
      <c r="B38" s="238" t="s">
        <v>7</v>
      </c>
      <c r="C38" s="66"/>
      <c r="D38" s="66" t="s">
        <v>19</v>
      </c>
      <c r="E38" s="66"/>
      <c r="F38" s="66"/>
      <c r="G38" s="66" t="s">
        <v>19</v>
      </c>
      <c r="H38" s="66"/>
      <c r="I38" s="66"/>
      <c r="J38" s="66" t="s">
        <v>19</v>
      </c>
      <c r="K38" s="66"/>
      <c r="L38" s="66"/>
      <c r="M38" s="66" t="s">
        <v>19</v>
      </c>
      <c r="N38" s="66"/>
      <c r="O38" s="66"/>
      <c r="P38" s="66" t="s">
        <v>19</v>
      </c>
      <c r="Q38" s="66"/>
      <c r="R38" s="66"/>
      <c r="S38" s="66" t="s">
        <v>19</v>
      </c>
      <c r="T38" s="66"/>
    </row>
    <row r="39" spans="1:20" ht="18.75">
      <c r="A39" s="236" t="s">
        <v>26</v>
      </c>
      <c r="B39" s="239" t="s">
        <v>0</v>
      </c>
      <c r="C39" s="54">
        <v>99999</v>
      </c>
      <c r="D39" s="66" t="s">
        <v>19</v>
      </c>
      <c r="E39" s="68">
        <v>30</v>
      </c>
      <c r="F39" s="54">
        <v>99999</v>
      </c>
      <c r="G39" s="66" t="s">
        <v>19</v>
      </c>
      <c r="H39" s="68">
        <v>50</v>
      </c>
      <c r="I39" s="54">
        <v>99999</v>
      </c>
      <c r="J39" s="66" t="s">
        <v>19</v>
      </c>
      <c r="K39" s="68">
        <v>30</v>
      </c>
      <c r="L39" s="54">
        <v>99999</v>
      </c>
      <c r="M39" s="66" t="s">
        <v>19</v>
      </c>
      <c r="N39" s="68">
        <v>50</v>
      </c>
      <c r="O39" s="54">
        <v>99999</v>
      </c>
      <c r="P39" s="66" t="s">
        <v>19</v>
      </c>
      <c r="Q39" s="68">
        <v>90</v>
      </c>
      <c r="R39" s="54">
        <v>99999</v>
      </c>
      <c r="S39" s="66" t="s">
        <v>19</v>
      </c>
      <c r="T39" s="68">
        <v>130</v>
      </c>
    </row>
    <row r="40" spans="1:20" ht="18.75">
      <c r="A40" s="240" t="s">
        <v>27</v>
      </c>
      <c r="B40" s="241" t="s">
        <v>1</v>
      </c>
      <c r="C40" s="72">
        <v>10</v>
      </c>
      <c r="D40" s="73" t="s">
        <v>43</v>
      </c>
      <c r="E40" s="72"/>
      <c r="F40" s="72">
        <v>10</v>
      </c>
      <c r="G40" s="73" t="s">
        <v>43</v>
      </c>
      <c r="H40" s="72"/>
      <c r="I40" s="72">
        <v>10</v>
      </c>
      <c r="J40" s="73" t="s">
        <v>43</v>
      </c>
      <c r="K40" s="72"/>
      <c r="L40" s="72">
        <v>10</v>
      </c>
      <c r="M40" s="73" t="s">
        <v>43</v>
      </c>
      <c r="N40" s="72"/>
      <c r="O40" s="72">
        <v>5</v>
      </c>
      <c r="P40" s="73" t="s">
        <v>43</v>
      </c>
      <c r="Q40" s="72"/>
      <c r="R40" s="72">
        <v>5</v>
      </c>
      <c r="S40" s="73" t="s">
        <v>43</v>
      </c>
      <c r="T40" s="72"/>
    </row>
    <row r="41" spans="1:20" ht="18.75">
      <c r="A41" s="240" t="s">
        <v>27</v>
      </c>
      <c r="B41" s="242" t="s">
        <v>5</v>
      </c>
      <c r="C41" s="76">
        <v>5</v>
      </c>
      <c r="D41" s="76" t="s">
        <v>19</v>
      </c>
      <c r="E41" s="76">
        <v>20</v>
      </c>
      <c r="F41" s="76">
        <v>5</v>
      </c>
      <c r="G41" s="76" t="s">
        <v>19</v>
      </c>
      <c r="H41" s="76">
        <v>35</v>
      </c>
      <c r="I41" s="76">
        <v>5</v>
      </c>
      <c r="J41" s="76" t="s">
        <v>19</v>
      </c>
      <c r="K41" s="76">
        <v>25</v>
      </c>
      <c r="L41" s="76">
        <v>5</v>
      </c>
      <c r="M41" s="76" t="s">
        <v>19</v>
      </c>
      <c r="N41" s="76">
        <v>50</v>
      </c>
      <c r="O41" s="76">
        <v>5</v>
      </c>
      <c r="P41" s="76" t="s">
        <v>19</v>
      </c>
      <c r="Q41" s="76">
        <v>50</v>
      </c>
      <c r="R41" s="76">
        <v>5</v>
      </c>
      <c r="S41" s="76" t="s">
        <v>19</v>
      </c>
      <c r="T41" s="76">
        <v>75</v>
      </c>
    </row>
    <row r="42" spans="1:20" ht="18.75">
      <c r="A42" s="240" t="s">
        <v>27</v>
      </c>
      <c r="B42" s="242" t="s">
        <v>7</v>
      </c>
      <c r="C42" s="76">
        <v>10</v>
      </c>
      <c r="D42" s="76" t="s">
        <v>19</v>
      </c>
      <c r="E42" s="76">
        <v>30</v>
      </c>
      <c r="F42" s="76">
        <v>10</v>
      </c>
      <c r="G42" s="76" t="s">
        <v>19</v>
      </c>
      <c r="H42" s="76">
        <v>45</v>
      </c>
      <c r="I42" s="76">
        <v>10</v>
      </c>
      <c r="J42" s="76" t="s">
        <v>19</v>
      </c>
      <c r="K42" s="76">
        <v>40</v>
      </c>
      <c r="L42" s="76">
        <v>10</v>
      </c>
      <c r="M42" s="76" t="s">
        <v>19</v>
      </c>
      <c r="N42" s="76">
        <v>75</v>
      </c>
      <c r="O42" s="76"/>
      <c r="P42" s="76" t="s">
        <v>19</v>
      </c>
      <c r="Q42" s="76"/>
      <c r="R42" s="76"/>
      <c r="S42" s="76" t="s">
        <v>19</v>
      </c>
      <c r="T42" s="76"/>
    </row>
    <row r="43" spans="1:20" ht="18.75">
      <c r="A43" s="240" t="s">
        <v>27</v>
      </c>
      <c r="B43" s="243" t="s">
        <v>0</v>
      </c>
      <c r="C43" s="54">
        <v>99999</v>
      </c>
      <c r="D43" s="76" t="s">
        <v>19</v>
      </c>
      <c r="E43" s="75">
        <v>40</v>
      </c>
      <c r="F43" s="54">
        <v>99999</v>
      </c>
      <c r="G43" s="76" t="s">
        <v>19</v>
      </c>
      <c r="H43" s="75">
        <v>70</v>
      </c>
      <c r="I43" s="54">
        <v>99999</v>
      </c>
      <c r="J43" s="76" t="s">
        <v>19</v>
      </c>
      <c r="K43" s="75">
        <v>55</v>
      </c>
      <c r="L43" s="54">
        <v>99999</v>
      </c>
      <c r="M43" s="76" t="s">
        <v>19</v>
      </c>
      <c r="N43" s="75">
        <v>92</v>
      </c>
      <c r="O43" s="54">
        <v>99999</v>
      </c>
      <c r="P43" s="76" t="s">
        <v>19</v>
      </c>
      <c r="Q43" s="75">
        <v>70</v>
      </c>
      <c r="R43" s="54">
        <v>99999</v>
      </c>
      <c r="S43" s="76" t="s">
        <v>19</v>
      </c>
      <c r="T43" s="75">
        <v>100</v>
      </c>
    </row>
    <row r="44" spans="1:20" ht="18.75">
      <c r="A44" s="236" t="s">
        <v>28</v>
      </c>
      <c r="B44" s="237" t="s">
        <v>1</v>
      </c>
      <c r="C44" s="63">
        <v>7</v>
      </c>
      <c r="D44" s="64" t="s">
        <v>43</v>
      </c>
      <c r="E44" s="63"/>
      <c r="F44" s="63">
        <v>7</v>
      </c>
      <c r="G44" s="64" t="s">
        <v>43</v>
      </c>
      <c r="H44" s="63"/>
      <c r="I44" s="63">
        <v>7</v>
      </c>
      <c r="J44" s="64" t="s">
        <v>43</v>
      </c>
      <c r="K44" s="63"/>
      <c r="L44" s="63">
        <v>7</v>
      </c>
      <c r="M44" s="64" t="s">
        <v>43</v>
      </c>
      <c r="N44" s="63"/>
      <c r="O44" s="63">
        <v>3</v>
      </c>
      <c r="P44" s="64" t="s">
        <v>43</v>
      </c>
      <c r="Q44" s="63"/>
      <c r="R44" s="63">
        <v>3</v>
      </c>
      <c r="S44" s="64" t="s">
        <v>43</v>
      </c>
      <c r="T44" s="63"/>
    </row>
    <row r="45" spans="1:20" ht="18.75">
      <c r="A45" s="236" t="s">
        <v>28</v>
      </c>
      <c r="B45" s="238" t="s">
        <v>5</v>
      </c>
      <c r="C45" s="66">
        <v>6</v>
      </c>
      <c r="D45" s="66" t="s">
        <v>19</v>
      </c>
      <c r="E45" s="66">
        <v>25</v>
      </c>
      <c r="F45" s="66">
        <v>6</v>
      </c>
      <c r="G45" s="66" t="s">
        <v>19</v>
      </c>
      <c r="H45" s="66">
        <v>40</v>
      </c>
      <c r="I45" s="66">
        <v>6</v>
      </c>
      <c r="J45" s="66" t="s">
        <v>19</v>
      </c>
      <c r="K45" s="66">
        <v>30</v>
      </c>
      <c r="L45" s="66">
        <v>6</v>
      </c>
      <c r="M45" s="66" t="s">
        <v>19</v>
      </c>
      <c r="N45" s="66">
        <v>45</v>
      </c>
      <c r="O45" s="66">
        <v>5</v>
      </c>
      <c r="P45" s="66" t="s">
        <v>19</v>
      </c>
      <c r="Q45" s="66">
        <v>50</v>
      </c>
      <c r="R45" s="66">
        <v>5</v>
      </c>
      <c r="S45" s="66" t="s">
        <v>19</v>
      </c>
      <c r="T45" s="66">
        <v>90</v>
      </c>
    </row>
    <row r="46" spans="1:20" ht="18.75">
      <c r="A46" s="236" t="s">
        <v>28</v>
      </c>
      <c r="B46" s="238" t="s">
        <v>7</v>
      </c>
      <c r="C46" s="66">
        <v>7</v>
      </c>
      <c r="D46" s="66" t="s">
        <v>19</v>
      </c>
      <c r="E46" s="66">
        <v>35</v>
      </c>
      <c r="F46" s="66">
        <v>7</v>
      </c>
      <c r="G46" s="66" t="s">
        <v>19</v>
      </c>
      <c r="H46" s="66">
        <v>50</v>
      </c>
      <c r="I46" s="66">
        <v>10</v>
      </c>
      <c r="J46" s="66" t="s">
        <v>19</v>
      </c>
      <c r="K46" s="66">
        <v>40</v>
      </c>
      <c r="L46" s="66">
        <v>10</v>
      </c>
      <c r="M46" s="66" t="s">
        <v>19</v>
      </c>
      <c r="N46" s="66">
        <v>70</v>
      </c>
      <c r="O46" s="66"/>
      <c r="P46" s="66" t="s">
        <v>19</v>
      </c>
      <c r="Q46" s="66"/>
      <c r="R46" s="66"/>
      <c r="S46" s="66" t="s">
        <v>19</v>
      </c>
      <c r="T46" s="66"/>
    </row>
    <row r="47" spans="1:20" ht="18.75">
      <c r="A47" s="236" t="s">
        <v>28</v>
      </c>
      <c r="B47" s="239" t="s">
        <v>0</v>
      </c>
      <c r="C47" s="54">
        <v>99999</v>
      </c>
      <c r="D47" s="66" t="s">
        <v>19</v>
      </c>
      <c r="E47" s="68">
        <v>45</v>
      </c>
      <c r="F47" s="54">
        <v>99999</v>
      </c>
      <c r="G47" s="66" t="s">
        <v>19</v>
      </c>
      <c r="H47" s="68">
        <v>60</v>
      </c>
      <c r="I47" s="54">
        <v>99999</v>
      </c>
      <c r="J47" s="66" t="s">
        <v>19</v>
      </c>
      <c r="K47" s="68">
        <v>50</v>
      </c>
      <c r="L47" s="54">
        <v>99999</v>
      </c>
      <c r="M47" s="66" t="s">
        <v>19</v>
      </c>
      <c r="N47" s="68">
        <v>90</v>
      </c>
      <c r="O47" s="54">
        <v>99999</v>
      </c>
      <c r="P47" s="66" t="s">
        <v>19</v>
      </c>
      <c r="Q47" s="68">
        <v>100</v>
      </c>
      <c r="R47" s="54">
        <v>99999</v>
      </c>
      <c r="S47" s="66" t="s">
        <v>19</v>
      </c>
      <c r="T47" s="68">
        <v>180</v>
      </c>
    </row>
    <row r="48" spans="1:20" ht="18.75">
      <c r="A48" s="240" t="s">
        <v>29</v>
      </c>
      <c r="B48" s="241" t="s">
        <v>1</v>
      </c>
      <c r="C48" s="72">
        <v>14</v>
      </c>
      <c r="D48" s="73" t="s">
        <v>43</v>
      </c>
      <c r="E48" s="72"/>
      <c r="F48" s="72">
        <v>14</v>
      </c>
      <c r="G48" s="73" t="s">
        <v>43</v>
      </c>
      <c r="H48" s="72"/>
      <c r="I48" s="72">
        <v>14</v>
      </c>
      <c r="J48" s="73" t="s">
        <v>43</v>
      </c>
      <c r="K48" s="72"/>
      <c r="L48" s="72">
        <v>14</v>
      </c>
      <c r="M48" s="73" t="s">
        <v>43</v>
      </c>
      <c r="N48" s="72"/>
      <c r="O48" s="72">
        <v>5</v>
      </c>
      <c r="P48" s="73" t="s">
        <v>43</v>
      </c>
      <c r="Q48" s="72"/>
      <c r="R48" s="72">
        <v>5</v>
      </c>
      <c r="S48" s="73" t="s">
        <v>43</v>
      </c>
      <c r="T48" s="72"/>
    </row>
    <row r="49" spans="1:20" ht="18.75">
      <c r="A49" s="240" t="s">
        <v>29</v>
      </c>
      <c r="B49" s="242" t="s">
        <v>5</v>
      </c>
      <c r="C49" s="76">
        <v>5</v>
      </c>
      <c r="D49" s="76" t="s">
        <v>19</v>
      </c>
      <c r="E49" s="76">
        <v>20</v>
      </c>
      <c r="F49" s="76">
        <v>5</v>
      </c>
      <c r="G49" s="76" t="s">
        <v>19</v>
      </c>
      <c r="H49" s="76">
        <v>35</v>
      </c>
      <c r="I49" s="76">
        <v>5</v>
      </c>
      <c r="J49" s="76" t="s">
        <v>19</v>
      </c>
      <c r="K49" s="76">
        <v>25</v>
      </c>
      <c r="L49" s="76">
        <v>5</v>
      </c>
      <c r="M49" s="76" t="s">
        <v>19</v>
      </c>
      <c r="N49" s="76">
        <v>50</v>
      </c>
      <c r="O49" s="76">
        <v>5</v>
      </c>
      <c r="P49" s="76" t="s">
        <v>19</v>
      </c>
      <c r="Q49" s="76">
        <v>50</v>
      </c>
      <c r="R49" s="76">
        <v>5</v>
      </c>
      <c r="S49" s="76" t="s">
        <v>19</v>
      </c>
      <c r="T49" s="76">
        <v>75</v>
      </c>
    </row>
    <row r="50" spans="1:20" ht="18.75">
      <c r="A50" s="240" t="s">
        <v>29</v>
      </c>
      <c r="B50" s="242" t="s">
        <v>7</v>
      </c>
      <c r="C50" s="76">
        <v>10</v>
      </c>
      <c r="D50" s="76" t="s">
        <v>19</v>
      </c>
      <c r="E50" s="76">
        <v>30</v>
      </c>
      <c r="F50" s="76">
        <v>10</v>
      </c>
      <c r="G50" s="76" t="s">
        <v>19</v>
      </c>
      <c r="H50" s="76">
        <v>45</v>
      </c>
      <c r="I50" s="76">
        <v>10</v>
      </c>
      <c r="J50" s="76" t="s">
        <v>19</v>
      </c>
      <c r="K50" s="76">
        <v>40</v>
      </c>
      <c r="L50" s="76">
        <v>10</v>
      </c>
      <c r="M50" s="76" t="s">
        <v>19</v>
      </c>
      <c r="N50" s="76">
        <v>75</v>
      </c>
      <c r="O50" s="76"/>
      <c r="P50" s="76" t="s">
        <v>19</v>
      </c>
      <c r="Q50" s="76"/>
      <c r="R50" s="76"/>
      <c r="S50" s="76" t="s">
        <v>19</v>
      </c>
      <c r="T50" s="76"/>
    </row>
    <row r="51" spans="1:20" ht="18.75">
      <c r="A51" s="240" t="s">
        <v>29</v>
      </c>
      <c r="B51" s="243" t="s">
        <v>0</v>
      </c>
      <c r="C51" s="54">
        <v>99999</v>
      </c>
      <c r="D51" s="76" t="s">
        <v>19</v>
      </c>
      <c r="E51" s="75">
        <v>40</v>
      </c>
      <c r="F51" s="54">
        <v>99999</v>
      </c>
      <c r="G51" s="76" t="s">
        <v>19</v>
      </c>
      <c r="H51" s="75">
        <v>70</v>
      </c>
      <c r="I51" s="54">
        <v>99999</v>
      </c>
      <c r="J51" s="76" t="s">
        <v>19</v>
      </c>
      <c r="K51" s="75">
        <v>55</v>
      </c>
      <c r="L51" s="54">
        <v>99999</v>
      </c>
      <c r="M51" s="76" t="s">
        <v>19</v>
      </c>
      <c r="N51" s="75">
        <v>92</v>
      </c>
      <c r="O51" s="54">
        <v>99999</v>
      </c>
      <c r="P51" s="76" t="s">
        <v>19</v>
      </c>
      <c r="Q51" s="75">
        <v>70</v>
      </c>
      <c r="R51" s="54">
        <v>99999</v>
      </c>
      <c r="S51" s="76" t="s">
        <v>19</v>
      </c>
      <c r="T51" s="75">
        <v>100</v>
      </c>
    </row>
    <row r="52" spans="1:20" ht="18.75">
      <c r="A52" s="236" t="s">
        <v>30</v>
      </c>
      <c r="B52" s="237" t="s">
        <v>1</v>
      </c>
      <c r="C52" s="63">
        <v>10</v>
      </c>
      <c r="D52" s="64" t="s">
        <v>43</v>
      </c>
      <c r="E52" s="63"/>
      <c r="F52" s="63">
        <v>10</v>
      </c>
      <c r="G52" s="64" t="s">
        <v>43</v>
      </c>
      <c r="H52" s="63"/>
      <c r="I52" s="63">
        <v>10</v>
      </c>
      <c r="J52" s="64" t="s">
        <v>43</v>
      </c>
      <c r="K52" s="63"/>
      <c r="L52" s="63">
        <v>10</v>
      </c>
      <c r="M52" s="64" t="s">
        <v>43</v>
      </c>
      <c r="N52" s="63"/>
      <c r="O52" s="63">
        <v>5</v>
      </c>
      <c r="P52" s="64" t="s">
        <v>43</v>
      </c>
      <c r="Q52" s="63"/>
      <c r="R52" s="63">
        <v>5</v>
      </c>
      <c r="S52" s="64" t="s">
        <v>43</v>
      </c>
      <c r="T52" s="63"/>
    </row>
    <row r="53" spans="1:20" ht="18.75">
      <c r="A53" s="236" t="s">
        <v>30</v>
      </c>
      <c r="B53" s="238" t="s">
        <v>5</v>
      </c>
      <c r="C53" s="66">
        <v>5</v>
      </c>
      <c r="D53" s="66" t="s">
        <v>19</v>
      </c>
      <c r="E53" s="66">
        <v>20</v>
      </c>
      <c r="F53" s="66">
        <v>5</v>
      </c>
      <c r="G53" s="66" t="s">
        <v>19</v>
      </c>
      <c r="H53" s="66">
        <v>35</v>
      </c>
      <c r="I53" s="66">
        <v>5</v>
      </c>
      <c r="J53" s="66" t="s">
        <v>19</v>
      </c>
      <c r="K53" s="66">
        <v>25</v>
      </c>
      <c r="L53" s="66">
        <v>5</v>
      </c>
      <c r="M53" s="66" t="s">
        <v>19</v>
      </c>
      <c r="N53" s="66">
        <v>50</v>
      </c>
      <c r="O53" s="66">
        <v>5</v>
      </c>
      <c r="P53" s="66" t="s">
        <v>19</v>
      </c>
      <c r="Q53" s="66">
        <v>50</v>
      </c>
      <c r="R53" s="66">
        <v>5</v>
      </c>
      <c r="S53" s="66" t="s">
        <v>19</v>
      </c>
      <c r="T53" s="66">
        <v>75</v>
      </c>
    </row>
    <row r="54" spans="1:20" ht="18.75">
      <c r="A54" s="236" t="s">
        <v>30</v>
      </c>
      <c r="B54" s="238" t="s">
        <v>7</v>
      </c>
      <c r="C54" s="66">
        <v>10</v>
      </c>
      <c r="D54" s="66" t="s">
        <v>19</v>
      </c>
      <c r="E54" s="66">
        <v>30</v>
      </c>
      <c r="F54" s="66">
        <v>10</v>
      </c>
      <c r="G54" s="66" t="s">
        <v>19</v>
      </c>
      <c r="H54" s="66">
        <v>45</v>
      </c>
      <c r="I54" s="66">
        <v>10</v>
      </c>
      <c r="J54" s="66" t="s">
        <v>19</v>
      </c>
      <c r="K54" s="66">
        <v>40</v>
      </c>
      <c r="L54" s="66">
        <v>10</v>
      </c>
      <c r="M54" s="66" t="s">
        <v>19</v>
      </c>
      <c r="N54" s="66">
        <v>75</v>
      </c>
      <c r="O54" s="66"/>
      <c r="P54" s="66" t="s">
        <v>19</v>
      </c>
      <c r="Q54" s="66"/>
      <c r="R54" s="66"/>
      <c r="S54" s="66" t="s">
        <v>19</v>
      </c>
      <c r="T54" s="66"/>
    </row>
    <row r="55" spans="1:20" ht="18.75">
      <c r="A55" s="236" t="s">
        <v>30</v>
      </c>
      <c r="B55" s="239" t="s">
        <v>0</v>
      </c>
      <c r="C55" s="54">
        <v>99999</v>
      </c>
      <c r="D55" s="66" t="s">
        <v>19</v>
      </c>
      <c r="E55" s="68">
        <v>40</v>
      </c>
      <c r="F55" s="54">
        <v>99999</v>
      </c>
      <c r="G55" s="66" t="s">
        <v>19</v>
      </c>
      <c r="H55" s="68">
        <v>70</v>
      </c>
      <c r="I55" s="54">
        <v>99999</v>
      </c>
      <c r="J55" s="66" t="s">
        <v>19</v>
      </c>
      <c r="K55" s="68">
        <v>55</v>
      </c>
      <c r="L55" s="54">
        <v>99999</v>
      </c>
      <c r="M55" s="66" t="s">
        <v>19</v>
      </c>
      <c r="N55" s="68">
        <v>92</v>
      </c>
      <c r="O55" s="54">
        <v>99999</v>
      </c>
      <c r="P55" s="66" t="s">
        <v>19</v>
      </c>
      <c r="Q55" s="68">
        <v>70</v>
      </c>
      <c r="R55" s="54">
        <v>99999</v>
      </c>
      <c r="S55" s="66" t="s">
        <v>19</v>
      </c>
      <c r="T55" s="68">
        <v>100</v>
      </c>
    </row>
    <row r="56" spans="1:20" ht="18.75">
      <c r="A56" s="240" t="s">
        <v>31</v>
      </c>
      <c r="B56" s="241" t="s">
        <v>1</v>
      </c>
      <c r="C56" s="72">
        <v>10</v>
      </c>
      <c r="D56" s="73" t="s">
        <v>43</v>
      </c>
      <c r="E56" s="72"/>
      <c r="F56" s="72">
        <v>10</v>
      </c>
      <c r="G56" s="73" t="s">
        <v>43</v>
      </c>
      <c r="H56" s="72"/>
      <c r="I56" s="72">
        <v>7</v>
      </c>
      <c r="J56" s="73" t="s">
        <v>43</v>
      </c>
      <c r="K56" s="72"/>
      <c r="L56" s="72">
        <v>7</v>
      </c>
      <c r="M56" s="73" t="s">
        <v>43</v>
      </c>
      <c r="N56" s="72"/>
      <c r="O56" s="72">
        <v>3</v>
      </c>
      <c r="P56" s="73" t="s">
        <v>43</v>
      </c>
      <c r="Q56" s="72"/>
      <c r="R56" s="72">
        <v>3</v>
      </c>
      <c r="S56" s="73" t="s">
        <v>43</v>
      </c>
      <c r="T56" s="72"/>
    </row>
    <row r="57" spans="1:20" ht="18.75">
      <c r="A57" s="240" t="s">
        <v>31</v>
      </c>
      <c r="B57" s="242" t="s">
        <v>5</v>
      </c>
      <c r="C57" s="76">
        <v>5</v>
      </c>
      <c r="D57" s="76" t="s">
        <v>19</v>
      </c>
      <c r="E57" s="76">
        <v>20</v>
      </c>
      <c r="F57" s="76">
        <v>5</v>
      </c>
      <c r="G57" s="76" t="s">
        <v>19</v>
      </c>
      <c r="H57" s="76">
        <v>35</v>
      </c>
      <c r="I57" s="76">
        <v>5</v>
      </c>
      <c r="J57" s="76" t="s">
        <v>19</v>
      </c>
      <c r="K57" s="76">
        <v>30</v>
      </c>
      <c r="L57" s="76">
        <v>5</v>
      </c>
      <c r="M57" s="76" t="s">
        <v>19</v>
      </c>
      <c r="N57" s="76">
        <v>50</v>
      </c>
      <c r="O57" s="76">
        <v>5</v>
      </c>
      <c r="P57" s="76" t="s">
        <v>19</v>
      </c>
      <c r="Q57" s="76">
        <v>50</v>
      </c>
      <c r="R57" s="76">
        <v>5</v>
      </c>
      <c r="S57" s="76" t="s">
        <v>19</v>
      </c>
      <c r="T57" s="76">
        <v>80</v>
      </c>
    </row>
    <row r="58" spans="1:20" ht="18.75">
      <c r="A58" s="240" t="s">
        <v>31</v>
      </c>
      <c r="B58" s="242" t="s">
        <v>7</v>
      </c>
      <c r="C58" s="76">
        <v>10</v>
      </c>
      <c r="D58" s="76" t="s">
        <v>19</v>
      </c>
      <c r="E58" s="76">
        <v>30</v>
      </c>
      <c r="F58" s="76">
        <v>10</v>
      </c>
      <c r="G58" s="76" t="s">
        <v>19</v>
      </c>
      <c r="H58" s="76">
        <v>50</v>
      </c>
      <c r="I58" s="76">
        <v>10</v>
      </c>
      <c r="J58" s="76" t="s">
        <v>19</v>
      </c>
      <c r="K58" s="76">
        <v>40</v>
      </c>
      <c r="L58" s="76">
        <v>10</v>
      </c>
      <c r="M58" s="76" t="s">
        <v>19</v>
      </c>
      <c r="N58" s="76">
        <v>75</v>
      </c>
      <c r="O58" s="76"/>
      <c r="P58" s="76" t="s">
        <v>19</v>
      </c>
      <c r="Q58" s="76"/>
      <c r="R58" s="76"/>
      <c r="S58" s="76" t="s">
        <v>19</v>
      </c>
      <c r="T58" s="76"/>
    </row>
    <row r="59" spans="1:20" ht="18.75">
      <c r="A59" s="240" t="s">
        <v>31</v>
      </c>
      <c r="B59" s="243" t="s">
        <v>0</v>
      </c>
      <c r="C59" s="54">
        <v>99999</v>
      </c>
      <c r="D59" s="76" t="s">
        <v>19</v>
      </c>
      <c r="E59" s="75">
        <v>40</v>
      </c>
      <c r="F59" s="54">
        <v>99999</v>
      </c>
      <c r="G59" s="76" t="s">
        <v>19</v>
      </c>
      <c r="H59" s="75">
        <v>80</v>
      </c>
      <c r="I59" s="54">
        <v>99999</v>
      </c>
      <c r="J59" s="76" t="s">
        <v>19</v>
      </c>
      <c r="K59" s="75">
        <v>50</v>
      </c>
      <c r="L59" s="54">
        <v>99999</v>
      </c>
      <c r="M59" s="76" t="s">
        <v>19</v>
      </c>
      <c r="N59" s="75">
        <v>100</v>
      </c>
      <c r="O59" s="54">
        <v>99999</v>
      </c>
      <c r="P59" s="76" t="s">
        <v>19</v>
      </c>
      <c r="Q59" s="75">
        <v>90</v>
      </c>
      <c r="R59" s="54">
        <v>99999</v>
      </c>
      <c r="S59" s="76" t="s">
        <v>19</v>
      </c>
      <c r="T59" s="75">
        <v>140</v>
      </c>
    </row>
    <row r="60" spans="1:20" ht="18.75">
      <c r="A60" s="236" t="s">
        <v>32</v>
      </c>
      <c r="B60" s="237" t="s">
        <v>1</v>
      </c>
      <c r="C60" s="63">
        <v>10</v>
      </c>
      <c r="D60" s="64" t="s">
        <v>43</v>
      </c>
      <c r="E60" s="63"/>
      <c r="F60" s="63">
        <v>10</v>
      </c>
      <c r="G60" s="64" t="s">
        <v>43</v>
      </c>
      <c r="H60" s="63"/>
      <c r="I60" s="63">
        <v>10</v>
      </c>
      <c r="J60" s="64" t="s">
        <v>43</v>
      </c>
      <c r="K60" s="63"/>
      <c r="L60" s="63">
        <v>10</v>
      </c>
      <c r="M60" s="64" t="s">
        <v>43</v>
      </c>
      <c r="N60" s="63"/>
      <c r="O60" s="63">
        <v>3</v>
      </c>
      <c r="P60" s="64" t="s">
        <v>43</v>
      </c>
      <c r="Q60" s="63"/>
      <c r="R60" s="63">
        <v>3</v>
      </c>
      <c r="S60" s="64" t="s">
        <v>43</v>
      </c>
      <c r="T60" s="63"/>
    </row>
    <row r="61" spans="1:20" ht="18.75">
      <c r="A61" s="236" t="s">
        <v>32</v>
      </c>
      <c r="B61" s="238" t="s">
        <v>5</v>
      </c>
      <c r="C61" s="66">
        <v>5</v>
      </c>
      <c r="D61" s="66" t="s">
        <v>6</v>
      </c>
      <c r="E61" s="66">
        <v>25</v>
      </c>
      <c r="F61" s="66">
        <v>5</v>
      </c>
      <c r="G61" s="66" t="s">
        <v>6</v>
      </c>
      <c r="H61" s="66">
        <v>40</v>
      </c>
      <c r="I61" s="66">
        <v>5</v>
      </c>
      <c r="J61" s="66" t="s">
        <v>6</v>
      </c>
      <c r="K61" s="66">
        <v>30</v>
      </c>
      <c r="L61" s="66">
        <v>5</v>
      </c>
      <c r="M61" s="66" t="s">
        <v>6</v>
      </c>
      <c r="N61" s="66">
        <v>60</v>
      </c>
      <c r="O61" s="66">
        <v>7</v>
      </c>
      <c r="P61" s="66" t="s">
        <v>6</v>
      </c>
      <c r="Q61" s="66">
        <v>60</v>
      </c>
      <c r="R61" s="66">
        <v>7</v>
      </c>
      <c r="S61" s="66" t="s">
        <v>6</v>
      </c>
      <c r="T61" s="66">
        <v>100</v>
      </c>
    </row>
    <row r="62" spans="1:20" ht="18.75">
      <c r="A62" s="236" t="s">
        <v>32</v>
      </c>
      <c r="B62" s="238" t="s">
        <v>7</v>
      </c>
      <c r="C62" s="66">
        <v>14</v>
      </c>
      <c r="D62" s="66" t="s">
        <v>6</v>
      </c>
      <c r="E62" s="66">
        <v>40</v>
      </c>
      <c r="F62" s="66">
        <v>14</v>
      </c>
      <c r="G62" s="66" t="s">
        <v>6</v>
      </c>
      <c r="H62" s="66">
        <v>70</v>
      </c>
      <c r="I62" s="66">
        <v>14</v>
      </c>
      <c r="J62" s="66" t="s">
        <v>6</v>
      </c>
      <c r="K62" s="66">
        <v>40</v>
      </c>
      <c r="L62" s="66">
        <v>14</v>
      </c>
      <c r="M62" s="66" t="s">
        <v>6</v>
      </c>
      <c r="N62" s="66">
        <v>80</v>
      </c>
      <c r="O62" s="66"/>
      <c r="P62" s="66" t="s">
        <v>6</v>
      </c>
      <c r="Q62" s="66"/>
      <c r="R62" s="66"/>
      <c r="S62" s="66" t="s">
        <v>6</v>
      </c>
      <c r="T62" s="66"/>
    </row>
    <row r="63" spans="1:20" ht="18.75">
      <c r="A63" s="236" t="s">
        <v>32</v>
      </c>
      <c r="B63" s="239" t="s">
        <v>0</v>
      </c>
      <c r="C63" s="54">
        <v>99999</v>
      </c>
      <c r="D63" s="66" t="s">
        <v>6</v>
      </c>
      <c r="E63" s="68">
        <v>50</v>
      </c>
      <c r="F63" s="54">
        <v>99999</v>
      </c>
      <c r="G63" s="66" t="s">
        <v>6</v>
      </c>
      <c r="H63" s="68">
        <v>100</v>
      </c>
      <c r="I63" s="54">
        <v>99999</v>
      </c>
      <c r="J63" s="66" t="s">
        <v>6</v>
      </c>
      <c r="K63" s="68">
        <v>60</v>
      </c>
      <c r="L63" s="54">
        <v>99999</v>
      </c>
      <c r="M63" s="66" t="s">
        <v>6</v>
      </c>
      <c r="N63" s="68">
        <v>120</v>
      </c>
      <c r="O63" s="54">
        <v>99999</v>
      </c>
      <c r="P63" s="66" t="s">
        <v>6</v>
      </c>
      <c r="Q63" s="68">
        <v>80</v>
      </c>
      <c r="R63" s="54">
        <v>99999</v>
      </c>
      <c r="S63" s="66" t="s">
        <v>6</v>
      </c>
      <c r="T63" s="68">
        <v>120</v>
      </c>
    </row>
    <row r="64" spans="1:20" ht="18.75">
      <c r="A64" s="240" t="s">
        <v>33</v>
      </c>
      <c r="B64" s="241" t="s">
        <v>1</v>
      </c>
      <c r="C64" s="72">
        <v>7</v>
      </c>
      <c r="D64" s="73" t="s">
        <v>43</v>
      </c>
      <c r="E64" s="72"/>
      <c r="F64" s="72">
        <v>7</v>
      </c>
      <c r="G64" s="73" t="s">
        <v>43</v>
      </c>
      <c r="H64" s="72"/>
      <c r="I64" s="72">
        <v>7</v>
      </c>
      <c r="J64" s="73" t="s">
        <v>43</v>
      </c>
      <c r="K64" s="72"/>
      <c r="L64" s="72">
        <v>7</v>
      </c>
      <c r="M64" s="73" t="s">
        <v>43</v>
      </c>
      <c r="N64" s="72"/>
      <c r="O64" s="72">
        <v>3</v>
      </c>
      <c r="P64" s="73" t="s">
        <v>43</v>
      </c>
      <c r="Q64" s="72"/>
      <c r="R64" s="72">
        <v>3</v>
      </c>
      <c r="S64" s="73" t="s">
        <v>43</v>
      </c>
      <c r="T64" s="72"/>
    </row>
    <row r="65" spans="1:20" ht="18.75">
      <c r="A65" s="240" t="s">
        <v>33</v>
      </c>
      <c r="B65" s="242" t="s">
        <v>5</v>
      </c>
      <c r="C65" s="76">
        <v>5</v>
      </c>
      <c r="D65" s="76" t="s">
        <v>6</v>
      </c>
      <c r="E65" s="76">
        <v>25</v>
      </c>
      <c r="F65" s="76">
        <v>5</v>
      </c>
      <c r="G65" s="76" t="s">
        <v>6</v>
      </c>
      <c r="H65" s="76">
        <v>40</v>
      </c>
      <c r="I65" s="76">
        <v>5</v>
      </c>
      <c r="J65" s="76" t="s">
        <v>6</v>
      </c>
      <c r="K65" s="76">
        <v>30</v>
      </c>
      <c r="L65" s="76">
        <v>5</v>
      </c>
      <c r="M65" s="76" t="s">
        <v>6</v>
      </c>
      <c r="N65" s="76">
        <v>50</v>
      </c>
      <c r="O65" s="76"/>
      <c r="P65" s="76" t="s">
        <v>6</v>
      </c>
      <c r="Q65" s="76"/>
      <c r="R65" s="76"/>
      <c r="S65" s="76" t="s">
        <v>6</v>
      </c>
      <c r="T65" s="76"/>
    </row>
    <row r="66" spans="1:20" ht="18.75">
      <c r="A66" s="240" t="s">
        <v>33</v>
      </c>
      <c r="B66" s="242" t="s">
        <v>7</v>
      </c>
      <c r="C66" s="76">
        <v>7</v>
      </c>
      <c r="D66" s="76" t="s">
        <v>6</v>
      </c>
      <c r="E66" s="76">
        <v>30</v>
      </c>
      <c r="F66" s="76">
        <v>7</v>
      </c>
      <c r="G66" s="76" t="s">
        <v>6</v>
      </c>
      <c r="H66" s="76">
        <v>50</v>
      </c>
      <c r="I66" s="76">
        <v>7</v>
      </c>
      <c r="J66" s="76" t="s">
        <v>6</v>
      </c>
      <c r="K66" s="76">
        <v>45</v>
      </c>
      <c r="L66" s="76">
        <v>7</v>
      </c>
      <c r="M66" s="76" t="s">
        <v>6</v>
      </c>
      <c r="N66" s="76">
        <v>70</v>
      </c>
      <c r="O66" s="76"/>
      <c r="P66" s="76" t="s">
        <v>6</v>
      </c>
      <c r="Q66" s="76"/>
      <c r="R66" s="76"/>
      <c r="S66" s="76" t="s">
        <v>6</v>
      </c>
      <c r="T66" s="76"/>
    </row>
    <row r="67" spans="1:20" ht="18.75">
      <c r="A67" s="240" t="s">
        <v>33</v>
      </c>
      <c r="B67" s="243" t="s">
        <v>0</v>
      </c>
      <c r="C67" s="54">
        <v>99999</v>
      </c>
      <c r="D67" s="76" t="s">
        <v>6</v>
      </c>
      <c r="E67" s="75">
        <v>35</v>
      </c>
      <c r="F67" s="54">
        <v>99999</v>
      </c>
      <c r="G67" s="76" t="s">
        <v>6</v>
      </c>
      <c r="H67" s="75">
        <v>60</v>
      </c>
      <c r="I67" s="54">
        <v>99999</v>
      </c>
      <c r="J67" s="76" t="s">
        <v>6</v>
      </c>
      <c r="K67" s="75">
        <v>60</v>
      </c>
      <c r="L67" s="54">
        <v>99999</v>
      </c>
      <c r="M67" s="76" t="s">
        <v>6</v>
      </c>
      <c r="N67" s="75">
        <v>95</v>
      </c>
      <c r="O67" s="54">
        <v>99999</v>
      </c>
      <c r="P67" s="76" t="s">
        <v>6</v>
      </c>
      <c r="Q67" s="75">
        <v>90</v>
      </c>
      <c r="R67" s="54">
        <v>99999</v>
      </c>
      <c r="S67" s="76" t="s">
        <v>6</v>
      </c>
      <c r="T67" s="75">
        <v>110</v>
      </c>
    </row>
    <row r="68" spans="1:20" ht="18.75">
      <c r="A68" s="236" t="s">
        <v>34</v>
      </c>
      <c r="B68" s="237" t="s">
        <v>1</v>
      </c>
      <c r="C68" s="63">
        <v>7</v>
      </c>
      <c r="D68" s="64" t="s">
        <v>43</v>
      </c>
      <c r="E68" s="63"/>
      <c r="F68" s="63">
        <v>7</v>
      </c>
      <c r="G68" s="64" t="s">
        <v>43</v>
      </c>
      <c r="H68" s="63"/>
      <c r="I68" s="63">
        <v>7</v>
      </c>
      <c r="J68" s="64" t="s">
        <v>43</v>
      </c>
      <c r="K68" s="63"/>
      <c r="L68" s="63">
        <v>7</v>
      </c>
      <c r="M68" s="64" t="s">
        <v>43</v>
      </c>
      <c r="N68" s="63"/>
      <c r="O68" s="63">
        <v>3</v>
      </c>
      <c r="P68" s="64" t="s">
        <v>43</v>
      </c>
      <c r="Q68" s="63"/>
      <c r="R68" s="63">
        <v>3</v>
      </c>
      <c r="S68" s="64" t="s">
        <v>43</v>
      </c>
      <c r="T68" s="63"/>
    </row>
    <row r="69" spans="1:20" ht="18.75">
      <c r="A69" s="236" t="s">
        <v>34</v>
      </c>
      <c r="B69" s="238" t="s">
        <v>5</v>
      </c>
      <c r="C69" s="66">
        <v>7</v>
      </c>
      <c r="D69" s="66" t="s">
        <v>6</v>
      </c>
      <c r="E69" s="66">
        <v>20</v>
      </c>
      <c r="F69" s="66">
        <v>7</v>
      </c>
      <c r="G69" s="66" t="s">
        <v>6</v>
      </c>
      <c r="H69" s="66">
        <v>30</v>
      </c>
      <c r="I69" s="66">
        <v>7</v>
      </c>
      <c r="J69" s="66" t="s">
        <v>6</v>
      </c>
      <c r="K69" s="66">
        <v>30</v>
      </c>
      <c r="L69" s="66">
        <v>7</v>
      </c>
      <c r="M69" s="66" t="s">
        <v>6</v>
      </c>
      <c r="N69" s="66">
        <v>60</v>
      </c>
      <c r="O69" s="66">
        <v>7</v>
      </c>
      <c r="P69" s="66" t="s">
        <v>6</v>
      </c>
      <c r="Q69" s="66">
        <v>40</v>
      </c>
      <c r="R69" s="66">
        <v>7</v>
      </c>
      <c r="S69" s="66" t="s">
        <v>6</v>
      </c>
      <c r="T69" s="66">
        <v>70</v>
      </c>
    </row>
    <row r="70" spans="1:20" ht="18.75">
      <c r="A70" s="236" t="s">
        <v>34</v>
      </c>
      <c r="B70" s="238" t="s">
        <v>7</v>
      </c>
      <c r="C70" s="66">
        <v>10</v>
      </c>
      <c r="D70" s="66" t="s">
        <v>6</v>
      </c>
      <c r="E70" s="66">
        <v>30</v>
      </c>
      <c r="F70" s="66">
        <v>10</v>
      </c>
      <c r="G70" s="66" t="s">
        <v>6</v>
      </c>
      <c r="H70" s="66">
        <v>50</v>
      </c>
      <c r="I70" s="66">
        <v>10</v>
      </c>
      <c r="J70" s="66" t="s">
        <v>6</v>
      </c>
      <c r="K70" s="66">
        <v>40</v>
      </c>
      <c r="L70" s="66">
        <v>10</v>
      </c>
      <c r="M70" s="66" t="s">
        <v>6</v>
      </c>
      <c r="N70" s="66">
        <v>80</v>
      </c>
      <c r="O70" s="66"/>
      <c r="P70" s="66" t="s">
        <v>6</v>
      </c>
      <c r="Q70" s="66"/>
      <c r="R70" s="66"/>
      <c r="S70" s="66" t="s">
        <v>6</v>
      </c>
      <c r="T70" s="66"/>
    </row>
    <row r="71" spans="1:20" ht="18.75">
      <c r="A71" s="236" t="s">
        <v>34</v>
      </c>
      <c r="B71" s="239" t="s">
        <v>0</v>
      </c>
      <c r="C71" s="54">
        <v>99999</v>
      </c>
      <c r="D71" s="66" t="s">
        <v>6</v>
      </c>
      <c r="E71" s="68">
        <v>40</v>
      </c>
      <c r="F71" s="54">
        <v>99999</v>
      </c>
      <c r="G71" s="66" t="s">
        <v>6</v>
      </c>
      <c r="H71" s="68">
        <v>70</v>
      </c>
      <c r="I71" s="54">
        <v>99999</v>
      </c>
      <c r="J71" s="66" t="s">
        <v>6</v>
      </c>
      <c r="K71" s="68">
        <v>50</v>
      </c>
      <c r="L71" s="54">
        <v>99999</v>
      </c>
      <c r="M71" s="66" t="s">
        <v>6</v>
      </c>
      <c r="N71" s="68">
        <v>100</v>
      </c>
      <c r="O71" s="54">
        <v>99999</v>
      </c>
      <c r="P71" s="66" t="s">
        <v>6</v>
      </c>
      <c r="Q71" s="68">
        <v>60</v>
      </c>
      <c r="R71" s="54">
        <v>99999</v>
      </c>
      <c r="S71" s="66" t="s">
        <v>6</v>
      </c>
      <c r="T71" s="68">
        <v>100</v>
      </c>
    </row>
    <row r="72" spans="1:20" ht="18.75">
      <c r="A72" s="240" t="s">
        <v>35</v>
      </c>
      <c r="B72" s="241" t="s">
        <v>1</v>
      </c>
      <c r="C72" s="72">
        <v>7</v>
      </c>
      <c r="D72" s="73" t="s">
        <v>43</v>
      </c>
      <c r="E72" s="72"/>
      <c r="F72" s="72">
        <v>7</v>
      </c>
      <c r="G72" s="73" t="s">
        <v>43</v>
      </c>
      <c r="H72" s="72"/>
      <c r="I72" s="72">
        <v>7</v>
      </c>
      <c r="J72" s="73" t="s">
        <v>43</v>
      </c>
      <c r="K72" s="72"/>
      <c r="L72" s="72">
        <v>7</v>
      </c>
      <c r="M72" s="73" t="s">
        <v>43</v>
      </c>
      <c r="N72" s="72"/>
      <c r="O72" s="72">
        <v>3</v>
      </c>
      <c r="P72" s="73" t="s">
        <v>43</v>
      </c>
      <c r="Q72" s="72"/>
      <c r="R72" s="72">
        <v>3</v>
      </c>
      <c r="S72" s="73" t="s">
        <v>43</v>
      </c>
      <c r="T72" s="72"/>
    </row>
    <row r="73" spans="1:20" ht="18.75">
      <c r="A73" s="240" t="s">
        <v>35</v>
      </c>
      <c r="B73" s="242" t="s">
        <v>5</v>
      </c>
      <c r="C73" s="76">
        <v>7</v>
      </c>
      <c r="D73" s="76" t="s">
        <v>19</v>
      </c>
      <c r="E73" s="76">
        <v>20</v>
      </c>
      <c r="F73" s="76">
        <v>7</v>
      </c>
      <c r="G73" s="76" t="s">
        <v>19</v>
      </c>
      <c r="H73" s="76">
        <v>40</v>
      </c>
      <c r="I73" s="76">
        <v>7</v>
      </c>
      <c r="J73" s="76" t="s">
        <v>19</v>
      </c>
      <c r="K73" s="76">
        <v>30</v>
      </c>
      <c r="L73" s="76">
        <v>7</v>
      </c>
      <c r="M73" s="76" t="s">
        <v>19</v>
      </c>
      <c r="N73" s="76">
        <v>60</v>
      </c>
      <c r="O73" s="76">
        <v>5</v>
      </c>
      <c r="P73" s="76" t="s">
        <v>19</v>
      </c>
      <c r="Q73" s="76">
        <v>45</v>
      </c>
      <c r="R73" s="76">
        <v>5</v>
      </c>
      <c r="S73" s="76" t="s">
        <v>19</v>
      </c>
      <c r="T73" s="76">
        <v>60</v>
      </c>
    </row>
    <row r="74" spans="1:20" ht="18.75">
      <c r="A74" s="240" t="s">
        <v>35</v>
      </c>
      <c r="B74" s="242" t="s">
        <v>7</v>
      </c>
      <c r="C74" s="76">
        <v>7</v>
      </c>
      <c r="D74" s="76" t="s">
        <v>19</v>
      </c>
      <c r="E74" s="76">
        <v>30</v>
      </c>
      <c r="F74" s="76">
        <v>7</v>
      </c>
      <c r="G74" s="76" t="s">
        <v>19</v>
      </c>
      <c r="H74" s="76">
        <v>60</v>
      </c>
      <c r="I74" s="76">
        <v>7</v>
      </c>
      <c r="J74" s="76" t="s">
        <v>19</v>
      </c>
      <c r="K74" s="76">
        <v>40</v>
      </c>
      <c r="L74" s="76">
        <v>7</v>
      </c>
      <c r="M74" s="76" t="s">
        <v>19</v>
      </c>
      <c r="N74" s="76">
        <v>80</v>
      </c>
      <c r="O74" s="76"/>
      <c r="P74" s="76" t="s">
        <v>19</v>
      </c>
      <c r="Q74" s="76"/>
      <c r="R74" s="76"/>
      <c r="S74" s="76" t="s">
        <v>19</v>
      </c>
      <c r="T74" s="76"/>
    </row>
    <row r="75" spans="1:20" ht="18.75">
      <c r="A75" s="240" t="s">
        <v>35</v>
      </c>
      <c r="B75" s="243" t="s">
        <v>0</v>
      </c>
      <c r="C75" s="54">
        <v>99999</v>
      </c>
      <c r="D75" s="76" t="s">
        <v>19</v>
      </c>
      <c r="E75" s="75">
        <v>40</v>
      </c>
      <c r="F75" s="54">
        <v>99999</v>
      </c>
      <c r="G75" s="76" t="s">
        <v>19</v>
      </c>
      <c r="H75" s="75">
        <v>80</v>
      </c>
      <c r="I75" s="54">
        <v>99999</v>
      </c>
      <c r="J75" s="76" t="s">
        <v>19</v>
      </c>
      <c r="K75" s="75">
        <v>60</v>
      </c>
      <c r="L75" s="54">
        <v>99999</v>
      </c>
      <c r="M75" s="76" t="s">
        <v>19</v>
      </c>
      <c r="N75" s="75">
        <v>120</v>
      </c>
      <c r="O75" s="54">
        <v>99999</v>
      </c>
      <c r="P75" s="76" t="s">
        <v>19</v>
      </c>
      <c r="Q75" s="75">
        <v>80</v>
      </c>
      <c r="R75" s="54">
        <v>99999</v>
      </c>
      <c r="S75" s="76" t="s">
        <v>19</v>
      </c>
      <c r="T75" s="75">
        <v>110</v>
      </c>
    </row>
    <row r="76" spans="1:20" ht="18.75">
      <c r="A76" s="236" t="s">
        <v>36</v>
      </c>
      <c r="B76" s="237" t="s">
        <v>1</v>
      </c>
      <c r="C76" s="63">
        <v>10</v>
      </c>
      <c r="D76" s="64" t="s">
        <v>43</v>
      </c>
      <c r="E76" s="63"/>
      <c r="F76" s="63">
        <v>10</v>
      </c>
      <c r="G76" s="64" t="s">
        <v>43</v>
      </c>
      <c r="H76" s="63"/>
      <c r="I76" s="63">
        <v>10</v>
      </c>
      <c r="J76" s="64" t="s">
        <v>43</v>
      </c>
      <c r="K76" s="63"/>
      <c r="L76" s="63">
        <v>10</v>
      </c>
      <c r="M76" s="64" t="s">
        <v>43</v>
      </c>
      <c r="N76" s="63"/>
      <c r="O76" s="63">
        <v>3</v>
      </c>
      <c r="P76" s="64" t="s">
        <v>43</v>
      </c>
      <c r="Q76" s="63"/>
      <c r="R76" s="63">
        <v>3</v>
      </c>
      <c r="S76" s="64" t="s">
        <v>43</v>
      </c>
      <c r="T76" s="63"/>
    </row>
    <row r="77" spans="1:20" ht="18.75">
      <c r="A77" s="236" t="s">
        <v>36</v>
      </c>
      <c r="B77" s="238" t="s">
        <v>5</v>
      </c>
      <c r="C77" s="66">
        <v>5</v>
      </c>
      <c r="D77" s="66" t="s">
        <v>19</v>
      </c>
      <c r="E77" s="66">
        <v>15</v>
      </c>
      <c r="F77" s="66">
        <v>5</v>
      </c>
      <c r="G77" s="66" t="s">
        <v>19</v>
      </c>
      <c r="H77" s="66">
        <v>30</v>
      </c>
      <c r="I77" s="66">
        <v>5</v>
      </c>
      <c r="J77" s="66" t="s">
        <v>19</v>
      </c>
      <c r="K77" s="66">
        <v>30</v>
      </c>
      <c r="L77" s="66">
        <v>5</v>
      </c>
      <c r="M77" s="66" t="s">
        <v>19</v>
      </c>
      <c r="N77" s="66">
        <v>50</v>
      </c>
      <c r="O77" s="66">
        <v>5</v>
      </c>
      <c r="P77" s="66" t="s">
        <v>19</v>
      </c>
      <c r="Q77" s="66">
        <v>30</v>
      </c>
      <c r="R77" s="66">
        <v>5</v>
      </c>
      <c r="S77" s="66" t="s">
        <v>19</v>
      </c>
      <c r="T77" s="66">
        <v>60</v>
      </c>
    </row>
    <row r="78" spans="1:20" ht="18.75">
      <c r="A78" s="236" t="s">
        <v>36</v>
      </c>
      <c r="B78" s="238" t="s">
        <v>7</v>
      </c>
      <c r="C78" s="66">
        <v>10</v>
      </c>
      <c r="D78" s="66" t="s">
        <v>19</v>
      </c>
      <c r="E78" s="66">
        <v>20</v>
      </c>
      <c r="F78" s="66">
        <v>10</v>
      </c>
      <c r="G78" s="66" t="s">
        <v>19</v>
      </c>
      <c r="H78" s="66">
        <v>40</v>
      </c>
      <c r="I78" s="66">
        <v>10</v>
      </c>
      <c r="J78" s="66" t="s">
        <v>19</v>
      </c>
      <c r="K78" s="66">
        <v>40</v>
      </c>
      <c r="L78" s="66">
        <v>10</v>
      </c>
      <c r="M78" s="66" t="s">
        <v>19</v>
      </c>
      <c r="N78" s="66">
        <v>75</v>
      </c>
      <c r="O78" s="66"/>
      <c r="P78" s="66" t="s">
        <v>19</v>
      </c>
      <c r="Q78" s="66"/>
      <c r="R78" s="66"/>
      <c r="S78" s="66" t="s">
        <v>19</v>
      </c>
      <c r="T78" s="66"/>
    </row>
    <row r="79" spans="1:20" ht="18.75">
      <c r="A79" s="236" t="s">
        <v>36</v>
      </c>
      <c r="B79" s="239" t="s">
        <v>0</v>
      </c>
      <c r="C79" s="54">
        <v>99999</v>
      </c>
      <c r="D79" s="66" t="s">
        <v>19</v>
      </c>
      <c r="E79" s="68">
        <v>30</v>
      </c>
      <c r="F79" s="54">
        <v>99999</v>
      </c>
      <c r="G79" s="66" t="s">
        <v>19</v>
      </c>
      <c r="H79" s="68">
        <v>60</v>
      </c>
      <c r="I79" s="54">
        <v>99999</v>
      </c>
      <c r="J79" s="66" t="s">
        <v>19</v>
      </c>
      <c r="K79" s="68">
        <v>50</v>
      </c>
      <c r="L79" s="54">
        <v>99999</v>
      </c>
      <c r="M79" s="66" t="s">
        <v>19</v>
      </c>
      <c r="N79" s="68">
        <v>100</v>
      </c>
      <c r="O79" s="54">
        <v>99999</v>
      </c>
      <c r="P79" s="66" t="s">
        <v>19</v>
      </c>
      <c r="Q79" s="68">
        <v>80</v>
      </c>
      <c r="R79" s="54">
        <v>99999</v>
      </c>
      <c r="S79" s="66" t="s">
        <v>19</v>
      </c>
      <c r="T79" s="68">
        <v>150</v>
      </c>
    </row>
    <row r="80" spans="1:20" ht="18.75">
      <c r="A80" s="240" t="s">
        <v>37</v>
      </c>
      <c r="B80" s="241" t="s">
        <v>1</v>
      </c>
      <c r="C80" s="72">
        <v>12</v>
      </c>
      <c r="D80" s="73" t="s">
        <v>43</v>
      </c>
      <c r="E80" s="72"/>
      <c r="F80" s="72">
        <v>12</v>
      </c>
      <c r="G80" s="73" t="s">
        <v>43</v>
      </c>
      <c r="H80" s="72"/>
      <c r="I80" s="72">
        <v>10</v>
      </c>
      <c r="J80" s="73" t="s">
        <v>43</v>
      </c>
      <c r="K80" s="72"/>
      <c r="L80" s="72">
        <v>10</v>
      </c>
      <c r="M80" s="73" t="s">
        <v>43</v>
      </c>
      <c r="N80" s="72"/>
      <c r="O80" s="72">
        <v>3</v>
      </c>
      <c r="P80" s="73" t="s">
        <v>43</v>
      </c>
      <c r="Q80" s="72"/>
      <c r="R80" s="72">
        <v>3</v>
      </c>
      <c r="S80" s="73" t="s">
        <v>43</v>
      </c>
      <c r="T80" s="72"/>
    </row>
    <row r="81" spans="1:20" ht="18.75">
      <c r="A81" s="240" t="s">
        <v>37</v>
      </c>
      <c r="B81" s="242" t="s">
        <v>5</v>
      </c>
      <c r="C81" s="76">
        <v>5</v>
      </c>
      <c r="D81" s="76" t="s">
        <v>6</v>
      </c>
      <c r="E81" s="76">
        <v>25</v>
      </c>
      <c r="F81" s="76">
        <v>5</v>
      </c>
      <c r="G81" s="76" t="s">
        <v>6</v>
      </c>
      <c r="H81" s="76">
        <v>50</v>
      </c>
      <c r="I81" s="76">
        <v>5</v>
      </c>
      <c r="J81" s="76" t="s">
        <v>6</v>
      </c>
      <c r="K81" s="76">
        <v>40</v>
      </c>
      <c r="L81" s="76">
        <v>5</v>
      </c>
      <c r="M81" s="76" t="s">
        <v>6</v>
      </c>
      <c r="N81" s="76">
        <v>70</v>
      </c>
      <c r="O81" s="76">
        <v>5</v>
      </c>
      <c r="P81" s="76" t="s">
        <v>6</v>
      </c>
      <c r="Q81" s="76">
        <v>60</v>
      </c>
      <c r="R81" s="76">
        <v>5</v>
      </c>
      <c r="S81" s="76" t="s">
        <v>6</v>
      </c>
      <c r="T81" s="76">
        <v>90</v>
      </c>
    </row>
    <row r="82" spans="1:20" ht="18.75">
      <c r="A82" s="240" t="s">
        <v>37</v>
      </c>
      <c r="B82" s="242" t="s">
        <v>7</v>
      </c>
      <c r="C82" s="76">
        <v>10</v>
      </c>
      <c r="D82" s="76" t="s">
        <v>6</v>
      </c>
      <c r="E82" s="76">
        <v>35</v>
      </c>
      <c r="F82" s="76">
        <v>10</v>
      </c>
      <c r="G82" s="76" t="s">
        <v>6</v>
      </c>
      <c r="H82" s="76">
        <v>70</v>
      </c>
      <c r="I82" s="76">
        <v>10</v>
      </c>
      <c r="J82" s="76" t="s">
        <v>6</v>
      </c>
      <c r="K82" s="76">
        <v>60</v>
      </c>
      <c r="L82" s="76">
        <v>10</v>
      </c>
      <c r="M82" s="76" t="s">
        <v>6</v>
      </c>
      <c r="N82" s="76">
        <v>120</v>
      </c>
      <c r="O82" s="76"/>
      <c r="P82" s="76" t="s">
        <v>6</v>
      </c>
      <c r="Q82" s="76"/>
      <c r="R82" s="76"/>
      <c r="S82" s="76" t="s">
        <v>6</v>
      </c>
      <c r="T82" s="76"/>
    </row>
    <row r="83" spans="1:20" ht="18.75">
      <c r="A83" s="240" t="s">
        <v>37</v>
      </c>
      <c r="B83" s="243" t="s">
        <v>0</v>
      </c>
      <c r="C83" s="54">
        <v>99999</v>
      </c>
      <c r="D83" s="76" t="s">
        <v>6</v>
      </c>
      <c r="E83" s="75">
        <v>40</v>
      </c>
      <c r="F83" s="54">
        <v>99999</v>
      </c>
      <c r="G83" s="76" t="s">
        <v>6</v>
      </c>
      <c r="H83" s="75">
        <v>80</v>
      </c>
      <c r="I83" s="54">
        <v>99999</v>
      </c>
      <c r="J83" s="76" t="s">
        <v>6</v>
      </c>
      <c r="K83" s="75">
        <v>80</v>
      </c>
      <c r="L83" s="54">
        <v>99999</v>
      </c>
      <c r="M83" s="76" t="s">
        <v>6</v>
      </c>
      <c r="N83" s="75">
        <v>150</v>
      </c>
      <c r="O83" s="54">
        <v>99999</v>
      </c>
      <c r="P83" s="76" t="s">
        <v>6</v>
      </c>
      <c r="Q83" s="75">
        <v>120</v>
      </c>
      <c r="R83" s="54">
        <v>99999</v>
      </c>
      <c r="S83" s="76" t="s">
        <v>6</v>
      </c>
      <c r="T83" s="75">
        <v>180</v>
      </c>
    </row>
    <row r="84" spans="1:20" ht="18.75">
      <c r="A84" s="236" t="s">
        <v>38</v>
      </c>
      <c r="B84" s="237" t="s">
        <v>1</v>
      </c>
      <c r="C84" s="63">
        <v>10</v>
      </c>
      <c r="D84" s="64" t="s">
        <v>43</v>
      </c>
      <c r="E84" s="63"/>
      <c r="F84" s="63">
        <v>10</v>
      </c>
      <c r="G84" s="64" t="s">
        <v>43</v>
      </c>
      <c r="H84" s="63"/>
      <c r="I84" s="63">
        <v>10</v>
      </c>
      <c r="J84" s="64" t="s">
        <v>43</v>
      </c>
      <c r="K84" s="63"/>
      <c r="L84" s="63">
        <v>10</v>
      </c>
      <c r="M84" s="64" t="s">
        <v>43</v>
      </c>
      <c r="N84" s="63"/>
      <c r="O84" s="63">
        <v>5</v>
      </c>
      <c r="P84" s="64" t="s">
        <v>43</v>
      </c>
      <c r="Q84" s="63"/>
      <c r="R84" s="63">
        <v>5</v>
      </c>
      <c r="S84" s="64" t="s">
        <v>43</v>
      </c>
      <c r="T84" s="63"/>
    </row>
    <row r="85" spans="1:20" ht="18.75">
      <c r="A85" s="236" t="s">
        <v>38</v>
      </c>
      <c r="B85" s="238" t="s">
        <v>5</v>
      </c>
      <c r="C85" s="66">
        <v>5</v>
      </c>
      <c r="D85" s="66" t="s">
        <v>19</v>
      </c>
      <c r="E85" s="66">
        <v>20</v>
      </c>
      <c r="F85" s="66">
        <v>5</v>
      </c>
      <c r="G85" s="66" t="s">
        <v>19</v>
      </c>
      <c r="H85" s="66">
        <v>35</v>
      </c>
      <c r="I85" s="66">
        <v>5</v>
      </c>
      <c r="J85" s="66" t="s">
        <v>19</v>
      </c>
      <c r="K85" s="66">
        <v>25</v>
      </c>
      <c r="L85" s="66">
        <v>5</v>
      </c>
      <c r="M85" s="66" t="s">
        <v>19</v>
      </c>
      <c r="N85" s="66">
        <v>50</v>
      </c>
      <c r="O85" s="66">
        <v>5</v>
      </c>
      <c r="P85" s="66" t="s">
        <v>19</v>
      </c>
      <c r="Q85" s="66">
        <v>50</v>
      </c>
      <c r="R85" s="66">
        <v>5</v>
      </c>
      <c r="S85" s="66" t="s">
        <v>19</v>
      </c>
      <c r="T85" s="66">
        <v>75</v>
      </c>
    </row>
    <row r="86" spans="1:20" ht="18.75">
      <c r="A86" s="236" t="s">
        <v>38</v>
      </c>
      <c r="B86" s="238" t="s">
        <v>7</v>
      </c>
      <c r="C86" s="66">
        <v>10</v>
      </c>
      <c r="D86" s="66" t="s">
        <v>19</v>
      </c>
      <c r="E86" s="66">
        <v>30</v>
      </c>
      <c r="F86" s="66">
        <v>10</v>
      </c>
      <c r="G86" s="66" t="s">
        <v>19</v>
      </c>
      <c r="H86" s="66">
        <v>45</v>
      </c>
      <c r="I86" s="66">
        <v>10</v>
      </c>
      <c r="J86" s="66" t="s">
        <v>19</v>
      </c>
      <c r="K86" s="66">
        <v>40</v>
      </c>
      <c r="L86" s="66">
        <v>10</v>
      </c>
      <c r="M86" s="66" t="s">
        <v>19</v>
      </c>
      <c r="N86" s="66">
        <v>75</v>
      </c>
      <c r="O86" s="66"/>
      <c r="P86" s="66" t="s">
        <v>19</v>
      </c>
      <c r="Q86" s="66"/>
      <c r="R86" s="66"/>
      <c r="S86" s="66" t="s">
        <v>19</v>
      </c>
      <c r="T86" s="66"/>
    </row>
    <row r="87" spans="1:20" ht="18.75">
      <c r="A87" s="236" t="s">
        <v>38</v>
      </c>
      <c r="B87" s="239" t="s">
        <v>0</v>
      </c>
      <c r="C87" s="54">
        <v>99999</v>
      </c>
      <c r="D87" s="66" t="s">
        <v>19</v>
      </c>
      <c r="E87" s="68">
        <v>40</v>
      </c>
      <c r="F87" s="54">
        <v>99999</v>
      </c>
      <c r="G87" s="66" t="s">
        <v>19</v>
      </c>
      <c r="H87" s="68">
        <v>70</v>
      </c>
      <c r="I87" s="54">
        <v>99999</v>
      </c>
      <c r="J87" s="66" t="s">
        <v>19</v>
      </c>
      <c r="K87" s="68">
        <v>55</v>
      </c>
      <c r="L87" s="54">
        <v>99999</v>
      </c>
      <c r="M87" s="66" t="s">
        <v>19</v>
      </c>
      <c r="N87" s="68">
        <v>92</v>
      </c>
      <c r="O87" s="54">
        <v>99999</v>
      </c>
      <c r="P87" s="66" t="s">
        <v>19</v>
      </c>
      <c r="Q87" s="68">
        <v>70</v>
      </c>
      <c r="R87" s="54">
        <v>99999</v>
      </c>
      <c r="S87" s="66" t="s">
        <v>19</v>
      </c>
      <c r="T87" s="68">
        <v>100</v>
      </c>
    </row>
    <row r="88" spans="1:20" ht="18.75">
      <c r="A88" s="240" t="s">
        <v>39</v>
      </c>
      <c r="B88" s="241" t="s">
        <v>1</v>
      </c>
      <c r="C88" s="72">
        <v>5</v>
      </c>
      <c r="D88" s="73" t="s">
        <v>43</v>
      </c>
      <c r="E88" s="72"/>
      <c r="F88" s="72">
        <v>5</v>
      </c>
      <c r="G88" s="73" t="s">
        <v>43</v>
      </c>
      <c r="H88" s="72"/>
      <c r="I88" s="72">
        <v>5</v>
      </c>
      <c r="J88" s="73" t="s">
        <v>43</v>
      </c>
      <c r="K88" s="72"/>
      <c r="L88" s="72">
        <v>5</v>
      </c>
      <c r="M88" s="73" t="s">
        <v>43</v>
      </c>
      <c r="N88" s="72"/>
      <c r="O88" s="72">
        <v>3</v>
      </c>
      <c r="P88" s="73" t="s">
        <v>43</v>
      </c>
      <c r="Q88" s="72"/>
      <c r="R88" s="72">
        <v>3</v>
      </c>
      <c r="S88" s="73" t="s">
        <v>43</v>
      </c>
      <c r="T88" s="72"/>
    </row>
    <row r="89" spans="1:20" ht="18.75">
      <c r="A89" s="240" t="s">
        <v>39</v>
      </c>
      <c r="B89" s="242" t="s">
        <v>5</v>
      </c>
      <c r="C89" s="76">
        <v>7</v>
      </c>
      <c r="D89" s="76" t="s">
        <v>19</v>
      </c>
      <c r="E89" s="76">
        <v>14</v>
      </c>
      <c r="F89" s="76">
        <v>7</v>
      </c>
      <c r="G89" s="76" t="s">
        <v>19</v>
      </c>
      <c r="H89" s="76">
        <v>28</v>
      </c>
      <c r="I89" s="76">
        <v>7</v>
      </c>
      <c r="J89" s="76" t="s">
        <v>19</v>
      </c>
      <c r="K89" s="76">
        <v>28</v>
      </c>
      <c r="L89" s="76">
        <v>7</v>
      </c>
      <c r="M89" s="76" t="s">
        <v>19</v>
      </c>
      <c r="N89" s="76">
        <v>56</v>
      </c>
      <c r="O89" s="76">
        <v>10</v>
      </c>
      <c r="P89" s="76" t="s">
        <v>19</v>
      </c>
      <c r="Q89" s="76">
        <v>40</v>
      </c>
      <c r="R89" s="76">
        <v>10</v>
      </c>
      <c r="S89" s="76" t="s">
        <v>19</v>
      </c>
      <c r="T89" s="76">
        <v>80</v>
      </c>
    </row>
    <row r="90" spans="1:20" ht="18.75">
      <c r="A90" s="240" t="s">
        <v>39</v>
      </c>
      <c r="B90" s="242" t="s">
        <v>7</v>
      </c>
      <c r="C90" s="76">
        <v>20</v>
      </c>
      <c r="D90" s="76" t="s">
        <v>19</v>
      </c>
      <c r="E90" s="76">
        <v>20</v>
      </c>
      <c r="F90" s="76">
        <v>20</v>
      </c>
      <c r="G90" s="76" t="s">
        <v>19</v>
      </c>
      <c r="H90" s="76">
        <v>40</v>
      </c>
      <c r="I90" s="76">
        <v>20</v>
      </c>
      <c r="J90" s="76" t="s">
        <v>19</v>
      </c>
      <c r="K90" s="76">
        <v>40</v>
      </c>
      <c r="L90" s="76">
        <v>20</v>
      </c>
      <c r="M90" s="76" t="s">
        <v>19</v>
      </c>
      <c r="N90" s="76">
        <v>80</v>
      </c>
      <c r="O90" s="76"/>
      <c r="P90" s="76" t="s">
        <v>19</v>
      </c>
      <c r="Q90" s="76"/>
      <c r="R90" s="76"/>
      <c r="S90" s="76" t="s">
        <v>19</v>
      </c>
      <c r="T90" s="76"/>
    </row>
    <row r="91" spans="1:20" ht="18.75">
      <c r="A91" s="240" t="s">
        <v>39</v>
      </c>
      <c r="B91" s="243" t="s">
        <v>0</v>
      </c>
      <c r="C91" s="54">
        <v>99999</v>
      </c>
      <c r="D91" s="76" t="s">
        <v>19</v>
      </c>
      <c r="E91" s="75">
        <v>28</v>
      </c>
      <c r="F91" s="54">
        <v>99999</v>
      </c>
      <c r="G91" s="76" t="s">
        <v>19</v>
      </c>
      <c r="H91" s="75">
        <v>56</v>
      </c>
      <c r="I91" s="54">
        <v>99999</v>
      </c>
      <c r="J91" s="76" t="s">
        <v>19</v>
      </c>
      <c r="K91" s="75">
        <v>56</v>
      </c>
      <c r="L91" s="54">
        <v>99999</v>
      </c>
      <c r="M91" s="76" t="s">
        <v>19</v>
      </c>
      <c r="N91" s="75">
        <v>112</v>
      </c>
      <c r="O91" s="54">
        <v>99999</v>
      </c>
      <c r="P91" s="76" t="s">
        <v>19</v>
      </c>
      <c r="Q91" s="75">
        <v>55</v>
      </c>
      <c r="R91" s="54">
        <v>99999</v>
      </c>
      <c r="S91" s="76" t="s">
        <v>19</v>
      </c>
      <c r="T91" s="75">
        <v>110</v>
      </c>
    </row>
    <row r="92" spans="1:20" ht="18.75">
      <c r="A92" s="236" t="s">
        <v>40</v>
      </c>
      <c r="B92" s="237" t="s">
        <v>1</v>
      </c>
      <c r="C92" s="63">
        <v>5</v>
      </c>
      <c r="D92" s="64" t="s">
        <v>43</v>
      </c>
      <c r="E92" s="63"/>
      <c r="F92" s="63">
        <v>5</v>
      </c>
      <c r="G92" s="64" t="s">
        <v>43</v>
      </c>
      <c r="H92" s="63"/>
      <c r="I92" s="63">
        <v>5</v>
      </c>
      <c r="J92" s="64" t="s">
        <v>43</v>
      </c>
      <c r="K92" s="63"/>
      <c r="L92" s="63">
        <v>5</v>
      </c>
      <c r="M92" s="64" t="s">
        <v>43</v>
      </c>
      <c r="N92" s="63"/>
      <c r="O92" s="63">
        <v>1</v>
      </c>
      <c r="P92" s="64" t="s">
        <v>43</v>
      </c>
      <c r="Q92" s="63"/>
      <c r="R92" s="63">
        <v>1</v>
      </c>
      <c r="S92" s="64" t="s">
        <v>43</v>
      </c>
      <c r="T92" s="63"/>
    </row>
    <row r="93" spans="1:20" ht="18.75">
      <c r="A93" s="236" t="s">
        <v>40</v>
      </c>
      <c r="B93" s="238" t="s">
        <v>5</v>
      </c>
      <c r="C93" s="66">
        <v>7</v>
      </c>
      <c r="D93" s="66" t="s">
        <v>19</v>
      </c>
      <c r="E93" s="66">
        <v>15</v>
      </c>
      <c r="F93" s="66">
        <v>7</v>
      </c>
      <c r="G93" s="66" t="s">
        <v>19</v>
      </c>
      <c r="H93" s="66">
        <v>30</v>
      </c>
      <c r="I93" s="66">
        <v>7</v>
      </c>
      <c r="J93" s="66" t="s">
        <v>19</v>
      </c>
      <c r="K93" s="66">
        <v>30</v>
      </c>
      <c r="L93" s="66">
        <v>7</v>
      </c>
      <c r="M93" s="66" t="s">
        <v>19</v>
      </c>
      <c r="N93" s="66">
        <v>56</v>
      </c>
      <c r="O93" s="66">
        <v>5</v>
      </c>
      <c r="P93" s="66" t="s">
        <v>19</v>
      </c>
      <c r="Q93" s="66">
        <v>40</v>
      </c>
      <c r="R93" s="66">
        <v>5</v>
      </c>
      <c r="S93" s="66" t="s">
        <v>19</v>
      </c>
      <c r="T93" s="66">
        <v>80</v>
      </c>
    </row>
    <row r="94" spans="1:20" ht="18.75">
      <c r="A94" s="236" t="s">
        <v>40</v>
      </c>
      <c r="B94" s="238" t="s">
        <v>7</v>
      </c>
      <c r="C94" s="66">
        <v>10</v>
      </c>
      <c r="D94" s="66" t="s">
        <v>19</v>
      </c>
      <c r="E94" s="66">
        <v>25</v>
      </c>
      <c r="F94" s="66">
        <v>10</v>
      </c>
      <c r="G94" s="66" t="s">
        <v>19</v>
      </c>
      <c r="H94" s="66">
        <v>50</v>
      </c>
      <c r="I94" s="66">
        <v>5</v>
      </c>
      <c r="J94" s="66" t="s">
        <v>19</v>
      </c>
      <c r="K94" s="66">
        <v>40</v>
      </c>
      <c r="L94" s="66">
        <v>5</v>
      </c>
      <c r="M94" s="66" t="s">
        <v>19</v>
      </c>
      <c r="N94" s="66">
        <v>80</v>
      </c>
      <c r="O94" s="66"/>
      <c r="P94" s="66" t="s">
        <v>19</v>
      </c>
      <c r="Q94" s="66"/>
      <c r="R94" s="66"/>
      <c r="S94" s="66" t="s">
        <v>19</v>
      </c>
      <c r="T94" s="66"/>
    </row>
    <row r="95" spans="1:20" ht="18.75">
      <c r="A95" s="236" t="s">
        <v>40</v>
      </c>
      <c r="B95" s="239" t="s">
        <v>0</v>
      </c>
      <c r="C95" s="54">
        <v>99999</v>
      </c>
      <c r="D95" s="66" t="s">
        <v>19</v>
      </c>
      <c r="E95" s="68">
        <v>35</v>
      </c>
      <c r="F95" s="54">
        <v>99999</v>
      </c>
      <c r="G95" s="66" t="s">
        <v>19</v>
      </c>
      <c r="H95" s="68">
        <v>65</v>
      </c>
      <c r="I95" s="54">
        <v>99999</v>
      </c>
      <c r="J95" s="66" t="s">
        <v>19</v>
      </c>
      <c r="K95" s="68">
        <v>56</v>
      </c>
      <c r="L95" s="54">
        <v>99999</v>
      </c>
      <c r="M95" s="66" t="s">
        <v>19</v>
      </c>
      <c r="N95" s="68">
        <v>112</v>
      </c>
      <c r="O95" s="54">
        <v>99999</v>
      </c>
      <c r="P95" s="66" t="s">
        <v>19</v>
      </c>
      <c r="Q95" s="68">
        <v>60</v>
      </c>
      <c r="R95" s="54">
        <v>99999</v>
      </c>
      <c r="S95" s="66" t="s">
        <v>19</v>
      </c>
      <c r="T95" s="68">
        <v>110</v>
      </c>
    </row>
    <row r="96" spans="1:20" ht="18.75">
      <c r="A96" s="240" t="s">
        <v>41</v>
      </c>
      <c r="B96" s="241" t="s">
        <v>1</v>
      </c>
      <c r="C96" s="72">
        <v>10</v>
      </c>
      <c r="D96" s="73" t="s">
        <v>43</v>
      </c>
      <c r="E96" s="72"/>
      <c r="F96" s="72">
        <v>10</v>
      </c>
      <c r="G96" s="73" t="s">
        <v>43</v>
      </c>
      <c r="H96" s="72"/>
      <c r="I96" s="72">
        <v>10</v>
      </c>
      <c r="J96" s="73" t="s">
        <v>43</v>
      </c>
      <c r="K96" s="72"/>
      <c r="L96" s="72">
        <v>10</v>
      </c>
      <c r="M96" s="73" t="s">
        <v>43</v>
      </c>
      <c r="N96" s="72"/>
      <c r="O96" s="72">
        <v>5</v>
      </c>
      <c r="P96" s="73" t="s">
        <v>43</v>
      </c>
      <c r="Q96" s="72"/>
      <c r="R96" s="72">
        <v>5</v>
      </c>
      <c r="S96" s="73" t="s">
        <v>43</v>
      </c>
      <c r="T96" s="72"/>
    </row>
    <row r="97" spans="1:20" ht="18.75">
      <c r="A97" s="240" t="s">
        <v>41</v>
      </c>
      <c r="B97" s="242" t="s">
        <v>5</v>
      </c>
      <c r="C97" s="76">
        <v>7</v>
      </c>
      <c r="D97" s="76" t="s">
        <v>19</v>
      </c>
      <c r="E97" s="76">
        <v>15</v>
      </c>
      <c r="F97" s="76">
        <v>7</v>
      </c>
      <c r="G97" s="76" t="s">
        <v>19</v>
      </c>
      <c r="H97" s="76">
        <v>25</v>
      </c>
      <c r="I97" s="76">
        <v>7</v>
      </c>
      <c r="J97" s="76" t="s">
        <v>19</v>
      </c>
      <c r="K97" s="76">
        <v>20</v>
      </c>
      <c r="L97" s="76">
        <v>7</v>
      </c>
      <c r="M97" s="76" t="s">
        <v>19</v>
      </c>
      <c r="N97" s="76">
        <v>30</v>
      </c>
      <c r="O97" s="76">
        <v>5</v>
      </c>
      <c r="P97" s="76" t="s">
        <v>19</v>
      </c>
      <c r="Q97" s="76">
        <v>30</v>
      </c>
      <c r="R97" s="76">
        <v>5</v>
      </c>
      <c r="S97" s="76" t="s">
        <v>19</v>
      </c>
      <c r="T97" s="76">
        <v>60</v>
      </c>
    </row>
    <row r="98" spans="1:20" ht="18.75">
      <c r="A98" s="240" t="s">
        <v>41</v>
      </c>
      <c r="B98" s="242" t="s">
        <v>7</v>
      </c>
      <c r="C98" s="76"/>
      <c r="D98" s="76" t="s">
        <v>19</v>
      </c>
      <c r="E98" s="76"/>
      <c r="F98" s="76"/>
      <c r="G98" s="76" t="s">
        <v>19</v>
      </c>
      <c r="H98" s="76"/>
      <c r="I98" s="76"/>
      <c r="J98" s="76" t="s">
        <v>19</v>
      </c>
      <c r="K98" s="76"/>
      <c r="L98" s="76"/>
      <c r="M98" s="76" t="s">
        <v>19</v>
      </c>
      <c r="N98" s="76"/>
      <c r="O98" s="76"/>
      <c r="P98" s="76" t="s">
        <v>19</v>
      </c>
      <c r="Q98" s="76"/>
      <c r="R98" s="76"/>
      <c r="S98" s="76" t="s">
        <v>19</v>
      </c>
      <c r="T98" s="76"/>
    </row>
    <row r="99" spans="1:20" ht="18.75">
      <c r="A99" s="240" t="s">
        <v>41</v>
      </c>
      <c r="B99" s="243" t="s">
        <v>0</v>
      </c>
      <c r="C99" s="54">
        <v>99999</v>
      </c>
      <c r="D99" s="76" t="s">
        <v>19</v>
      </c>
      <c r="E99" s="75">
        <v>25</v>
      </c>
      <c r="F99" s="54">
        <v>99999</v>
      </c>
      <c r="G99" s="76" t="s">
        <v>19</v>
      </c>
      <c r="H99" s="75">
        <v>35</v>
      </c>
      <c r="I99" s="54">
        <v>99999</v>
      </c>
      <c r="J99" s="76" t="s">
        <v>19</v>
      </c>
      <c r="K99" s="75">
        <v>30</v>
      </c>
      <c r="L99" s="54">
        <v>99999</v>
      </c>
      <c r="M99" s="76" t="s">
        <v>19</v>
      </c>
      <c r="N99" s="75">
        <v>50</v>
      </c>
      <c r="O99" s="54">
        <v>99999</v>
      </c>
      <c r="P99" s="76" t="s">
        <v>19</v>
      </c>
      <c r="Q99" s="75">
        <v>50</v>
      </c>
      <c r="R99" s="54">
        <v>99999</v>
      </c>
      <c r="S99" s="76" t="s">
        <v>19</v>
      </c>
      <c r="T99" s="75">
        <v>100</v>
      </c>
    </row>
    <row r="100" spans="1:20" ht="18.75">
      <c r="A100" s="236" t="s">
        <v>42</v>
      </c>
      <c r="B100" s="237" t="s">
        <v>1</v>
      </c>
      <c r="C100" s="63">
        <v>10</v>
      </c>
      <c r="D100" s="64" t="s">
        <v>43</v>
      </c>
      <c r="E100" s="63"/>
      <c r="F100" s="63">
        <v>10</v>
      </c>
      <c r="G100" s="64" t="s">
        <v>43</v>
      </c>
      <c r="H100" s="63"/>
      <c r="I100" s="63">
        <v>7</v>
      </c>
      <c r="J100" s="64" t="s">
        <v>43</v>
      </c>
      <c r="K100" s="63"/>
      <c r="L100" s="63">
        <v>7</v>
      </c>
      <c r="M100" s="64" t="s">
        <v>43</v>
      </c>
      <c r="N100" s="63"/>
      <c r="O100" s="63">
        <v>3</v>
      </c>
      <c r="P100" s="64" t="s">
        <v>43</v>
      </c>
      <c r="Q100" s="63"/>
      <c r="R100" s="63">
        <v>3</v>
      </c>
      <c r="S100" s="64" t="s">
        <v>43</v>
      </c>
      <c r="T100" s="63"/>
    </row>
    <row r="101" spans="1:20" ht="18.75">
      <c r="A101" s="236" t="s">
        <v>42</v>
      </c>
      <c r="B101" s="238" t="s">
        <v>5</v>
      </c>
      <c r="C101" s="66">
        <v>7</v>
      </c>
      <c r="D101" s="66" t="s">
        <v>6</v>
      </c>
      <c r="E101" s="66">
        <v>30</v>
      </c>
      <c r="F101" s="66">
        <v>7</v>
      </c>
      <c r="G101" s="66" t="s">
        <v>6</v>
      </c>
      <c r="H101" s="66">
        <v>50</v>
      </c>
      <c r="I101" s="66">
        <v>5</v>
      </c>
      <c r="J101" s="66" t="s">
        <v>6</v>
      </c>
      <c r="K101" s="66">
        <v>30</v>
      </c>
      <c r="L101" s="66">
        <v>5</v>
      </c>
      <c r="M101" s="66" t="s">
        <v>6</v>
      </c>
      <c r="N101" s="66">
        <v>60</v>
      </c>
      <c r="O101" s="66">
        <v>5</v>
      </c>
      <c r="P101" s="66" t="s">
        <v>6</v>
      </c>
      <c r="Q101" s="66">
        <v>70</v>
      </c>
      <c r="R101" s="66">
        <v>5</v>
      </c>
      <c r="S101" s="66" t="s">
        <v>6</v>
      </c>
      <c r="T101" s="66">
        <v>85</v>
      </c>
    </row>
    <row r="102" spans="1:20" ht="18.75">
      <c r="A102" s="236" t="s">
        <v>42</v>
      </c>
      <c r="B102" s="238" t="s">
        <v>7</v>
      </c>
      <c r="C102" s="66">
        <v>10</v>
      </c>
      <c r="D102" s="66" t="s">
        <v>6</v>
      </c>
      <c r="E102" s="66">
        <v>45</v>
      </c>
      <c r="F102" s="66">
        <v>10</v>
      </c>
      <c r="G102" s="66" t="s">
        <v>6</v>
      </c>
      <c r="H102" s="66">
        <v>70</v>
      </c>
      <c r="I102" s="66">
        <v>10</v>
      </c>
      <c r="J102" s="66" t="s">
        <v>6</v>
      </c>
      <c r="K102" s="66">
        <v>50</v>
      </c>
      <c r="L102" s="66">
        <v>10</v>
      </c>
      <c r="M102" s="66" t="s">
        <v>6</v>
      </c>
      <c r="N102" s="66">
        <v>100</v>
      </c>
      <c r="O102" s="66"/>
      <c r="P102" s="66" t="s">
        <v>6</v>
      </c>
      <c r="Q102" s="66"/>
      <c r="R102" s="66"/>
      <c r="S102" s="66" t="s">
        <v>6</v>
      </c>
      <c r="T102" s="66"/>
    </row>
    <row r="103" spans="1:20" ht="18.75">
      <c r="A103" s="236" t="s">
        <v>42</v>
      </c>
      <c r="B103" s="239" t="s">
        <v>0</v>
      </c>
      <c r="C103" s="54">
        <v>99999</v>
      </c>
      <c r="D103" s="66" t="s">
        <v>6</v>
      </c>
      <c r="E103" s="68">
        <v>60</v>
      </c>
      <c r="F103" s="54">
        <v>99999</v>
      </c>
      <c r="G103" s="66" t="s">
        <v>6</v>
      </c>
      <c r="H103" s="68">
        <v>90</v>
      </c>
      <c r="I103" s="54">
        <v>99999</v>
      </c>
      <c r="J103" s="66" t="s">
        <v>6</v>
      </c>
      <c r="K103" s="68">
        <v>60</v>
      </c>
      <c r="L103" s="54">
        <v>99999</v>
      </c>
      <c r="M103" s="66" t="s">
        <v>6</v>
      </c>
      <c r="N103" s="68">
        <v>120</v>
      </c>
      <c r="O103" s="54">
        <v>99999</v>
      </c>
      <c r="P103" s="66" t="s">
        <v>6</v>
      </c>
      <c r="Q103" s="68">
        <v>150</v>
      </c>
      <c r="R103" s="54">
        <v>99999</v>
      </c>
      <c r="S103" s="66" t="s">
        <v>6</v>
      </c>
      <c r="T103" s="68">
        <v>150</v>
      </c>
    </row>
    <row r="104" spans="1:20" ht="18.75">
      <c r="A104" s="240" t="s">
        <v>271</v>
      </c>
      <c r="B104" s="241" t="s">
        <v>1</v>
      </c>
      <c r="C104" s="72">
        <v>7</v>
      </c>
      <c r="D104" s="73" t="s">
        <v>43</v>
      </c>
      <c r="E104" s="72"/>
      <c r="F104" s="72">
        <v>7</v>
      </c>
      <c r="G104" s="73" t="s">
        <v>43</v>
      </c>
      <c r="H104" s="72"/>
      <c r="I104" s="72">
        <v>7</v>
      </c>
      <c r="J104" s="73" t="s">
        <v>43</v>
      </c>
      <c r="K104" s="72"/>
      <c r="L104" s="72">
        <v>7</v>
      </c>
      <c r="M104" s="73" t="s">
        <v>43</v>
      </c>
      <c r="N104" s="72"/>
      <c r="O104" s="72">
        <v>3</v>
      </c>
      <c r="P104" s="73" t="s">
        <v>43</v>
      </c>
      <c r="Q104" s="72"/>
      <c r="R104" s="72">
        <v>3</v>
      </c>
      <c r="S104" s="73" t="s">
        <v>43</v>
      </c>
      <c r="T104" s="72"/>
    </row>
    <row r="105" spans="1:20" ht="18.75">
      <c r="A105" s="240" t="s">
        <v>271</v>
      </c>
      <c r="B105" s="242" t="s">
        <v>5</v>
      </c>
      <c r="C105" s="76">
        <v>5</v>
      </c>
      <c r="D105" s="76" t="s">
        <v>272</v>
      </c>
      <c r="E105" s="76">
        <v>227</v>
      </c>
      <c r="F105" s="76">
        <v>5</v>
      </c>
      <c r="G105" s="76" t="s">
        <v>272</v>
      </c>
      <c r="H105" s="76">
        <v>454</v>
      </c>
      <c r="I105" s="76">
        <v>5</v>
      </c>
      <c r="J105" s="76" t="s">
        <v>272</v>
      </c>
      <c r="K105" s="76">
        <v>378</v>
      </c>
      <c r="L105" s="76">
        <v>5</v>
      </c>
      <c r="M105" s="76" t="s">
        <v>272</v>
      </c>
      <c r="N105" s="76">
        <v>756</v>
      </c>
      <c r="O105" s="76">
        <v>5</v>
      </c>
      <c r="P105" s="76" t="s">
        <v>272</v>
      </c>
      <c r="Q105" s="76">
        <v>715</v>
      </c>
      <c r="R105" s="76">
        <v>5</v>
      </c>
      <c r="S105" s="76" t="s">
        <v>272</v>
      </c>
      <c r="T105" s="76">
        <v>1430</v>
      </c>
    </row>
    <row r="106" spans="1:20" ht="18.75">
      <c r="A106" s="240" t="s">
        <v>271</v>
      </c>
      <c r="B106" s="242" t="s">
        <v>7</v>
      </c>
      <c r="C106" s="76">
        <v>7</v>
      </c>
      <c r="D106" s="76" t="s">
        <v>272</v>
      </c>
      <c r="E106" s="76">
        <v>378</v>
      </c>
      <c r="F106" s="76">
        <v>7</v>
      </c>
      <c r="G106" s="76" t="s">
        <v>272</v>
      </c>
      <c r="H106" s="76">
        <v>756</v>
      </c>
      <c r="I106" s="76">
        <v>7</v>
      </c>
      <c r="J106" s="76" t="s">
        <v>272</v>
      </c>
      <c r="K106" s="76">
        <v>529</v>
      </c>
      <c r="L106" s="76">
        <v>7</v>
      </c>
      <c r="M106" s="76" t="s">
        <v>272</v>
      </c>
      <c r="N106" s="76">
        <v>1058</v>
      </c>
      <c r="O106" s="76">
        <v>10</v>
      </c>
      <c r="P106" s="76" t="s">
        <v>272</v>
      </c>
      <c r="Q106" s="76">
        <v>786</v>
      </c>
      <c r="R106" s="76">
        <v>10</v>
      </c>
      <c r="S106" s="76" t="s">
        <v>272</v>
      </c>
      <c r="T106" s="76">
        <v>1572</v>
      </c>
    </row>
    <row r="107" spans="1:20" ht="18.75">
      <c r="A107" s="240" t="s">
        <v>271</v>
      </c>
      <c r="B107" s="242" t="s">
        <v>219</v>
      </c>
      <c r="C107" s="76">
        <v>10</v>
      </c>
      <c r="D107" s="76" t="s">
        <v>272</v>
      </c>
      <c r="E107" s="76">
        <v>529</v>
      </c>
      <c r="F107" s="76">
        <v>10</v>
      </c>
      <c r="G107" s="76" t="s">
        <v>272</v>
      </c>
      <c r="H107" s="76">
        <v>1058</v>
      </c>
      <c r="I107" s="76">
        <v>10</v>
      </c>
      <c r="J107" s="76" t="s">
        <v>272</v>
      </c>
      <c r="K107" s="76">
        <v>681</v>
      </c>
      <c r="L107" s="76">
        <v>10</v>
      </c>
      <c r="M107" s="76" t="s">
        <v>272</v>
      </c>
      <c r="N107" s="76">
        <v>1362</v>
      </c>
      <c r="O107" s="76">
        <v>15</v>
      </c>
      <c r="P107" s="76" t="s">
        <v>272</v>
      </c>
      <c r="Q107" s="76">
        <v>894</v>
      </c>
      <c r="R107" s="76">
        <v>15</v>
      </c>
      <c r="S107" s="76" t="s">
        <v>272</v>
      </c>
      <c r="T107" s="76">
        <v>1788</v>
      </c>
    </row>
    <row r="108" spans="1:20" ht="18.75">
      <c r="A108" s="240" t="s">
        <v>271</v>
      </c>
      <c r="B108" s="243" t="s">
        <v>0</v>
      </c>
      <c r="C108" s="54">
        <v>99999</v>
      </c>
      <c r="D108" s="76" t="s">
        <v>272</v>
      </c>
      <c r="E108" s="75">
        <v>619</v>
      </c>
      <c r="F108" s="54">
        <v>99999</v>
      </c>
      <c r="G108" s="76" t="s">
        <v>272</v>
      </c>
      <c r="H108" s="75">
        <v>1238</v>
      </c>
      <c r="I108" s="54">
        <v>99999</v>
      </c>
      <c r="J108" s="76" t="s">
        <v>272</v>
      </c>
      <c r="K108" s="75">
        <v>797</v>
      </c>
      <c r="L108" s="54">
        <v>99999</v>
      </c>
      <c r="M108" s="76" t="s">
        <v>272</v>
      </c>
      <c r="N108" s="75">
        <v>1594</v>
      </c>
      <c r="O108" s="54">
        <v>99999</v>
      </c>
      <c r="P108" s="76" t="s">
        <v>272</v>
      </c>
      <c r="Q108" s="75">
        <v>1037</v>
      </c>
      <c r="R108" s="54">
        <v>99999</v>
      </c>
      <c r="S108" s="76" t="s">
        <v>272</v>
      </c>
      <c r="T108" s="75">
        <v>2074</v>
      </c>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8E05E-D1C7-41D5-8129-66DA3B3DC1E3}">
  <sheetPr>
    <tabColor theme="4" tint="0.39997558519241921"/>
  </sheetPr>
  <dimension ref="B1:AD752"/>
  <sheetViews>
    <sheetView showRowColHeaders="0" zoomScale="90" zoomScaleNormal="90" workbookViewId="0">
      <selection activeCell="E10" sqref="E10"/>
    </sheetView>
  </sheetViews>
  <sheetFormatPr defaultColWidth="9.140625" defaultRowHeight="15"/>
  <cols>
    <col min="1" max="1" width="9.140625" style="297"/>
    <col min="2" max="2" width="8.28515625" style="297" customWidth="1"/>
    <col min="3" max="3" width="28.85546875" style="296" customWidth="1"/>
    <col min="4" max="4" width="17.140625" style="297" customWidth="1"/>
    <col min="5" max="5" width="11.7109375" style="297" customWidth="1"/>
    <col min="6" max="7" width="17.140625" style="297" customWidth="1"/>
    <col min="8" max="8" width="11.7109375" style="297" customWidth="1"/>
    <col min="9" max="10" width="17.140625" style="297" customWidth="1"/>
    <col min="11" max="11" width="11.7109375" style="297" customWidth="1"/>
    <col min="12" max="13" width="17.140625" style="297" customWidth="1"/>
    <col min="14" max="14" width="11.7109375" style="297" customWidth="1"/>
    <col min="15" max="15" width="7" style="297" customWidth="1"/>
    <col min="16" max="16" width="17.140625" style="297" customWidth="1"/>
    <col min="17" max="17" width="11.7109375" style="297" customWidth="1"/>
    <col min="18" max="19" width="17.140625" style="297" customWidth="1"/>
    <col min="20" max="20" width="11.7109375" style="297" customWidth="1"/>
    <col min="21" max="21" width="17.140625" style="297" customWidth="1"/>
    <col min="22" max="22" width="9.140625" style="297"/>
    <col min="23" max="23" width="9.140625" style="297" customWidth="1"/>
    <col min="24" max="24" width="16.5703125" style="297" hidden="1" customWidth="1"/>
    <col min="25" max="30" width="9.140625" style="297" hidden="1" customWidth="1"/>
    <col min="31" max="37" width="9.140625" style="297" customWidth="1"/>
    <col min="38" max="16384" width="9.140625" style="297"/>
  </cols>
  <sheetData>
    <row r="1" spans="2:26" ht="11.25" customHeight="1">
      <c r="B1" s="430" t="s">
        <v>220</v>
      </c>
      <c r="C1" s="430"/>
      <c r="D1" s="430"/>
      <c r="E1" s="430"/>
      <c r="F1" s="430"/>
      <c r="G1" s="430"/>
      <c r="H1" s="430"/>
      <c r="I1" s="430"/>
      <c r="J1" s="430"/>
      <c r="K1" s="430"/>
      <c r="L1" s="430"/>
      <c r="M1" s="430"/>
      <c r="N1" s="430"/>
    </row>
    <row r="2" spans="2:26" ht="11.25" customHeight="1">
      <c r="B2" s="430"/>
      <c r="C2" s="430"/>
      <c r="D2" s="430"/>
      <c r="E2" s="430"/>
      <c r="F2" s="430"/>
      <c r="G2" s="430"/>
      <c r="H2" s="430"/>
      <c r="I2" s="430"/>
      <c r="J2" s="430"/>
      <c r="K2" s="430"/>
      <c r="L2" s="430"/>
      <c r="M2" s="430"/>
      <c r="N2" s="430"/>
    </row>
    <row r="3" spans="2:26" ht="11.25" customHeight="1">
      <c r="B3" s="430"/>
      <c r="C3" s="430"/>
      <c r="D3" s="430"/>
      <c r="E3" s="430"/>
      <c r="F3" s="430"/>
      <c r="G3" s="430"/>
      <c r="H3" s="430"/>
      <c r="I3" s="430"/>
      <c r="J3" s="430"/>
      <c r="K3" s="430"/>
      <c r="L3" s="430"/>
      <c r="M3" s="430"/>
      <c r="N3" s="430"/>
    </row>
    <row r="4" spans="2:26" ht="15" customHeight="1">
      <c r="B4" s="431" t="s">
        <v>222</v>
      </c>
      <c r="C4" s="431"/>
      <c r="D4" s="431"/>
      <c r="E4" s="431"/>
      <c r="F4" s="431"/>
      <c r="G4" s="431"/>
      <c r="H4" s="431"/>
      <c r="I4" s="431"/>
      <c r="J4" s="431"/>
      <c r="K4" s="431"/>
      <c r="L4" s="431"/>
      <c r="M4" s="431"/>
      <c r="N4" s="431"/>
    </row>
    <row r="5" spans="2:26" ht="15" customHeight="1">
      <c r="B5" s="431"/>
      <c r="C5" s="431"/>
      <c r="D5" s="431"/>
      <c r="E5" s="431"/>
      <c r="F5" s="431"/>
      <c r="G5" s="431"/>
      <c r="H5" s="431"/>
      <c r="I5" s="431"/>
      <c r="J5" s="431"/>
      <c r="K5" s="431"/>
      <c r="L5" s="431"/>
      <c r="M5" s="431"/>
      <c r="N5" s="431"/>
    </row>
    <row r="6" spans="2:26" ht="5.25" customHeight="1"/>
    <row r="7" spans="2:26" ht="5.25" customHeight="1" thickBot="1">
      <c r="C7" s="297"/>
    </row>
    <row r="8" spans="2:26" ht="7.5" customHeight="1">
      <c r="B8" s="455" t="s">
        <v>324</v>
      </c>
      <c r="C8" s="350"/>
      <c r="D8" s="351"/>
      <c r="E8" s="351"/>
      <c r="F8" s="351"/>
      <c r="G8" s="351"/>
      <c r="H8" s="351"/>
      <c r="I8" s="351"/>
      <c r="J8" s="351"/>
      <c r="K8" s="351"/>
      <c r="L8" s="351"/>
      <c r="M8" s="351"/>
      <c r="N8" s="352"/>
    </row>
    <row r="9" spans="2:26" ht="36" customHeight="1">
      <c r="B9" s="456"/>
      <c r="C9" s="353" t="s">
        <v>319</v>
      </c>
      <c r="D9" s="29" t="s">
        <v>271</v>
      </c>
      <c r="E9" s="354"/>
      <c r="F9" s="458" t="s">
        <v>331</v>
      </c>
      <c r="G9" s="459"/>
      <c r="H9" s="460"/>
      <c r="I9" s="399" t="str">
        <f>IFERROR(IF($D$48&lt;0,0,$D$48),"Please fill the yellow boxes correctly !")</f>
        <v>Please fill the yellow boxes correctly !</v>
      </c>
      <c r="J9" s="41" t="str">
        <f>IFERROR(E48,"not valid")</f>
        <v>MAD</v>
      </c>
      <c r="K9" s="354"/>
      <c r="L9" s="354"/>
      <c r="M9" s="354"/>
      <c r="N9" s="355"/>
      <c r="P9" s="487" t="s">
        <v>345</v>
      </c>
      <c r="Q9" s="488"/>
      <c r="R9" s="488"/>
      <c r="S9" s="488"/>
      <c r="T9" s="489"/>
    </row>
    <row r="10" spans="2:26" ht="36" customHeight="1">
      <c r="B10" s="456"/>
      <c r="C10" s="353" t="s">
        <v>60</v>
      </c>
      <c r="D10" s="220" t="s">
        <v>239</v>
      </c>
      <c r="E10" s="354"/>
      <c r="F10" s="461" t="s">
        <v>332</v>
      </c>
      <c r="G10" s="462"/>
      <c r="H10" s="463"/>
      <c r="I10" s="398" t="str">
        <f>IF(D15=0,"----",
     IF($I$9="Please fill the yellow boxes correctly !","Please fill the yellow boxes correctly !",$D$49))</f>
        <v>----</v>
      </c>
      <c r="J10" s="397" t="str">
        <f>IFERROR(E48,"not valid")</f>
        <v>MAD</v>
      </c>
      <c r="K10" s="354"/>
      <c r="L10" s="354"/>
      <c r="M10" s="354"/>
      <c r="N10" s="355"/>
      <c r="P10" s="490"/>
      <c r="Q10" s="491"/>
      <c r="R10" s="491"/>
      <c r="S10" s="491"/>
      <c r="T10" s="492"/>
      <c r="Z10" s="297" t="s">
        <v>239</v>
      </c>
    </row>
    <row r="11" spans="2:26" ht="29.25" customHeight="1" thickBot="1">
      <c r="B11" s="456"/>
      <c r="C11" s="392" t="s">
        <v>326</v>
      </c>
      <c r="D11" s="344" t="s">
        <v>239</v>
      </c>
      <c r="E11" s="354"/>
      <c r="F11" s="339"/>
      <c r="G11" s="339"/>
      <c r="H11" s="339"/>
      <c r="I11" s="340"/>
      <c r="J11" s="340"/>
      <c r="K11" s="354"/>
      <c r="L11" s="354"/>
      <c r="M11" s="354"/>
      <c r="N11" s="355"/>
      <c r="P11" s="516" t="s">
        <v>61</v>
      </c>
      <c r="Q11" s="517"/>
      <c r="R11" s="517"/>
      <c r="S11" s="517"/>
      <c r="T11" s="518"/>
      <c r="Z11" s="297" t="s">
        <v>8</v>
      </c>
    </row>
    <row r="12" spans="2:26" ht="29.25" customHeight="1" thickTop="1" thickBot="1">
      <c r="B12" s="456"/>
      <c r="C12" s="353" t="s">
        <v>327</v>
      </c>
      <c r="D12" s="345" t="s">
        <v>239</v>
      </c>
      <c r="E12" s="354"/>
      <c r="F12" s="481" t="s">
        <v>338</v>
      </c>
      <c r="G12" s="482"/>
      <c r="H12" s="482"/>
      <c r="I12" s="482"/>
      <c r="J12" s="483"/>
      <c r="K12" s="354"/>
      <c r="L12" s="354"/>
      <c r="M12" s="354"/>
      <c r="N12" s="355"/>
      <c r="P12" s="493" t="s">
        <v>346</v>
      </c>
      <c r="Q12" s="494"/>
      <c r="R12" s="494"/>
      <c r="S12" s="494"/>
      <c r="T12" s="495"/>
      <c r="Z12" s="297" t="s">
        <v>55</v>
      </c>
    </row>
    <row r="13" spans="2:26" ht="36" customHeight="1" thickTop="1">
      <c r="B13" s="456"/>
      <c r="C13" s="353" t="s">
        <v>66</v>
      </c>
      <c r="D13" s="338">
        <f>IF(D11="&lt;make selection&gt;",0,IF(D12-D11+1&lt;0,0,D12-D11+1))</f>
        <v>0</v>
      </c>
      <c r="E13" s="354"/>
      <c r="F13" s="464" t="str">
        <f>IF(D13-D14&lt;11, D13-D14&amp;" days of ADFT cost in case purchasing (max 10 days):", "10 days of ADFT cost in case purchasing (max 10 days):")</f>
        <v>0 days of ADFT cost in case purchasing (max 10 days):</v>
      </c>
      <c r="G13" s="465"/>
      <c r="H13" s="466"/>
      <c r="I13" s="417" t="str">
        <f>IFERROR(
IF(RIGHT($D$10,7)="General",
IFERROR(
IF(AND($D$13&gt;($D$14+$D$15),OR($D$10=$Z$11,$D$10=$Z$12)),
IF($D$13-($D$14+$D$15)&gt;10,
INT(IF($D$10=$Z$11,
INDEX(Table2[20'#],MATCH(TRUE,Table2[Column1],0)),
INDEX(Table2[40'#],MATCH(TRUE,Table2[Column1],0))))*10,
INT(IF($D$10=$Z$11,
INDEX(Table2[20'#],MATCH(TRUE,Table2[Column1],0)),
INDEX(Table2[40'#],MATCH(TRUE,Table2[Column1],0))))*($D$13-($D$14+$D$15))),"0"),
IF($D$13-($D$14+$D$15)&gt;10,
25*10,
25*($D$13-($D$14+$D$15)))),"Please fill the yellow boxes correctly !"),"Please fill the yellow boxes correctly !")</f>
        <v>Please fill the yellow boxes correctly !</v>
      </c>
      <c r="J13" s="403" t="s">
        <v>6</v>
      </c>
      <c r="K13" s="354"/>
      <c r="L13" s="470" t="s">
        <v>321</v>
      </c>
      <c r="M13" s="471"/>
      <c r="N13" s="388" t="s">
        <v>322</v>
      </c>
      <c r="P13" s="496"/>
      <c r="Q13" s="497"/>
      <c r="R13" s="497"/>
      <c r="S13" s="497"/>
      <c r="T13" s="498"/>
      <c r="Z13" s="297" t="s">
        <v>9</v>
      </c>
    </row>
    <row r="14" spans="2:26" ht="36" customHeight="1" thickBot="1">
      <c r="B14" s="456"/>
      <c r="C14" s="353" t="s">
        <v>240</v>
      </c>
      <c r="D14" s="356">
        <f>IFERROR($C$51, 0)</f>
        <v>0</v>
      </c>
      <c r="E14" s="354"/>
      <c r="F14" s="467" t="s">
        <v>323</v>
      </c>
      <c r="G14" s="468"/>
      <c r="H14" s="469"/>
      <c r="I14" s="418" t="str">
        <f xml:space="preserve">
IFERROR(
IF(I13="not valid","not valid",
  IF(AND(RIGHT($D$10,7)="General",$J$10="EUR",$I$13&lt;&gt;"not valid"),
    IF($D$13-($D$14+$D$15)&gt;10,
      IF($D$10=$Z$11, ($D$13-($D$14+$D$15)-10)*$F$60+$I$13*L14, ($D$13-($D$14+$D$15)-10)*$I$60+$I$13*L14),
      IF(MIN($I$9:$I$10)-$I$13*L14&gt;0, $I$13*L14, (MIN($I$9:$I$10)-$I$13*L14))),
    IF(AND(RIGHT($D$10,7)="General",J10&lt;&gt;"EUR"),
      IF($D$13-($D$14+$D$15)&gt;10,
        IF($D$10=$Z$11, ($D$13-($D$14+$D$15)-10)*$F$60+$I$13*L14, ($D$13-($D$14+$D$15)-10)*$I$60+$I$13*L14),
        IF(MIN($I$9:$I$10)-$I$13*L14&gt;0, $I$13*L14, MIN($I$9:$I$10)-$I$13*L14)),
      "Please fill the yellow boxes correctly !"))),
"Please fill the yellow boxes correctly !")</f>
        <v>Please fill the yellow boxes correctly !</v>
      </c>
      <c r="J14" s="402" t="str">
        <f>J10</f>
        <v>MAD</v>
      </c>
      <c r="K14" s="354"/>
      <c r="L14" s="475">
        <v>10.45</v>
      </c>
      <c r="M14" s="476"/>
      <c r="N14" s="477"/>
      <c r="P14" s="496" t="s">
        <v>123</v>
      </c>
      <c r="Q14" s="497"/>
      <c r="R14" s="497"/>
      <c r="S14" s="497"/>
      <c r="T14" s="498"/>
      <c r="Z14" s="297" t="s">
        <v>56</v>
      </c>
    </row>
    <row r="15" spans="2:26" ht="33.75" customHeight="1" thickTop="1">
      <c r="B15" s="456"/>
      <c r="C15" s="353" t="s">
        <v>241</v>
      </c>
      <c r="D15" s="346">
        <v>0</v>
      </c>
      <c r="E15" s="354"/>
      <c r="F15" s="478" t="str">
        <f>IF($I$14&gt;MIN($I$9:$I$10),
"Amount Lost in case purchasing ADFT (~):",
"Amount Saved in case purchasing ADFT (~):")</f>
        <v>Amount Lost in case purchasing ADFT (~):</v>
      </c>
      <c r="G15" s="479"/>
      <c r="H15" s="480"/>
      <c r="I15" s="400" t="e">
        <f>I9-I14</f>
        <v>#VALUE!</v>
      </c>
      <c r="J15" s="401" t="e">
        <f>IF(I15="","",J14)</f>
        <v>#VALUE!</v>
      </c>
      <c r="K15" s="354"/>
      <c r="L15" s="354"/>
      <c r="M15" s="354"/>
      <c r="N15" s="355"/>
      <c r="P15" s="501" t="s">
        <v>244</v>
      </c>
      <c r="Q15" s="502"/>
      <c r="R15" s="502"/>
      <c r="S15" s="502"/>
      <c r="T15" s="503"/>
      <c r="Z15" s="297" t="s">
        <v>10</v>
      </c>
    </row>
    <row r="16" spans="2:26" ht="18" customHeight="1" thickBot="1">
      <c r="B16" s="457"/>
      <c r="C16" s="357"/>
      <c r="D16" s="358"/>
      <c r="E16" s="358"/>
      <c r="F16" s="358"/>
      <c r="G16" s="358"/>
      <c r="H16" s="358"/>
      <c r="I16" s="358"/>
      <c r="J16" s="358"/>
      <c r="K16" s="358"/>
      <c r="L16" s="358"/>
      <c r="M16" s="358"/>
      <c r="N16" s="359"/>
      <c r="P16" s="504" t="s">
        <v>347</v>
      </c>
      <c r="Q16" s="505"/>
      <c r="R16" s="505"/>
      <c r="S16" s="505"/>
      <c r="T16" s="506"/>
      <c r="Z16" s="297" t="s">
        <v>57</v>
      </c>
    </row>
    <row r="17" spans="2:29" hidden="1"/>
    <row r="18" spans="2:29" hidden="1"/>
    <row r="19" spans="2:29" hidden="1"/>
    <row r="20" spans="2:29" hidden="1"/>
    <row r="21" spans="2:29" hidden="1"/>
    <row r="22" spans="2:29" hidden="1">
      <c r="X22" s="297" t="s">
        <v>239</v>
      </c>
      <c r="Y22" s="297" t="s">
        <v>239</v>
      </c>
      <c r="Z22" s="297" t="s">
        <v>239</v>
      </c>
      <c r="AA22" s="297" t="s">
        <v>239</v>
      </c>
      <c r="AB22" s="297">
        <v>0</v>
      </c>
      <c r="AC22" s="297" t="s">
        <v>312</v>
      </c>
    </row>
    <row r="23" spans="2:29" ht="15.75" thickBot="1">
      <c r="X23" s="290">
        <v>44927</v>
      </c>
      <c r="Y23" s="297" t="s">
        <v>289</v>
      </c>
      <c r="Z23" s="297" t="s">
        <v>305</v>
      </c>
      <c r="AA23" s="297" t="s">
        <v>312</v>
      </c>
      <c r="AB23" s="297">
        <v>1</v>
      </c>
      <c r="AC23" s="297" t="s">
        <v>313</v>
      </c>
    </row>
    <row r="24" spans="2:29" ht="27" customHeight="1">
      <c r="B24" s="448" t="s">
        <v>325</v>
      </c>
      <c r="C24" s="360" t="s">
        <v>147</v>
      </c>
      <c r="D24" s="347" t="s">
        <v>239</v>
      </c>
      <c r="E24" s="361"/>
      <c r="F24" s="472" t="s">
        <v>330</v>
      </c>
      <c r="G24" s="473"/>
      <c r="H24" s="473"/>
      <c r="I24" s="474"/>
      <c r="J24" s="336" t="str">
        <f>$J$40</f>
        <v>Please fill the yellow boxes correctly !</v>
      </c>
      <c r="K24" s="337" t="s">
        <v>272</v>
      </c>
      <c r="L24" s="361"/>
      <c r="M24" s="361"/>
      <c r="N24" s="362"/>
      <c r="X24" s="290">
        <v>44928</v>
      </c>
      <c r="Y24" s="297" t="s">
        <v>290</v>
      </c>
      <c r="Z24" s="297" t="s">
        <v>306</v>
      </c>
      <c r="AA24" s="297" t="s">
        <v>313</v>
      </c>
      <c r="AB24" s="297">
        <v>2</v>
      </c>
    </row>
    <row r="25" spans="2:29" ht="27" customHeight="1">
      <c r="B25" s="449"/>
      <c r="C25" s="353" t="s">
        <v>155</v>
      </c>
      <c r="D25" s="348" t="s">
        <v>239</v>
      </c>
      <c r="E25" s="363"/>
      <c r="F25" s="458" t="s">
        <v>333</v>
      </c>
      <c r="G25" s="459"/>
      <c r="H25" s="459"/>
      <c r="I25" s="460"/>
      <c r="J25" s="295">
        <f>IFERROR($K$40,"Read Below")</f>
        <v>0</v>
      </c>
      <c r="K25" s="291" t="s">
        <v>272</v>
      </c>
      <c r="L25" s="363"/>
      <c r="M25" s="363"/>
      <c r="N25" s="364"/>
      <c r="X25" s="290">
        <v>44929</v>
      </c>
      <c r="Y25" s="297" t="s">
        <v>291</v>
      </c>
      <c r="Z25" s="297" t="s">
        <v>307</v>
      </c>
      <c r="AB25" s="297">
        <v>3</v>
      </c>
    </row>
    <row r="26" spans="2:29" ht="27" customHeight="1">
      <c r="B26" s="449"/>
      <c r="C26" s="353" t="s">
        <v>296</v>
      </c>
      <c r="D26" s="348" t="s">
        <v>239</v>
      </c>
      <c r="E26" s="363"/>
      <c r="F26" s="458" t="s">
        <v>334</v>
      </c>
      <c r="G26" s="459"/>
      <c r="H26" s="459"/>
      <c r="I26" s="460"/>
      <c r="J26" s="295">
        <f>IFERROR($L$40,"Read Below")</f>
        <v>0</v>
      </c>
      <c r="K26" s="291" t="s">
        <v>272</v>
      </c>
      <c r="L26" s="363"/>
      <c r="M26" s="363"/>
      <c r="N26" s="364"/>
      <c r="X26" s="290">
        <v>44930</v>
      </c>
      <c r="Y26" s="297" t="s">
        <v>292</v>
      </c>
      <c r="Z26" s="297" t="s">
        <v>308</v>
      </c>
      <c r="AB26" s="297">
        <v>4</v>
      </c>
    </row>
    <row r="27" spans="2:29" ht="27" customHeight="1" thickBot="1">
      <c r="B27" s="449"/>
      <c r="C27" s="365"/>
      <c r="D27" s="363"/>
      <c r="E27" s="363"/>
      <c r="F27" s="510" t="s">
        <v>335</v>
      </c>
      <c r="G27" s="511"/>
      <c r="H27" s="511"/>
      <c r="I27" s="512"/>
      <c r="J27" s="409">
        <f>$M$40</f>
        <v>0</v>
      </c>
      <c r="K27" s="410" t="s">
        <v>272</v>
      </c>
      <c r="L27" s="363"/>
      <c r="M27" s="363"/>
      <c r="N27" s="364"/>
      <c r="X27" s="290">
        <v>44931</v>
      </c>
      <c r="AB27" s="297">
        <v>5</v>
      </c>
    </row>
    <row r="28" spans="2:29" ht="27" customHeight="1" thickTop="1">
      <c r="B28" s="449"/>
      <c r="C28" s="391" t="s">
        <v>328</v>
      </c>
      <c r="D28" s="343" t="s">
        <v>239</v>
      </c>
      <c r="E28" s="363"/>
      <c r="F28" s="507" t="s">
        <v>336</v>
      </c>
      <c r="G28" s="508"/>
      <c r="H28" s="508"/>
      <c r="I28" s="509"/>
      <c r="J28" s="413">
        <f>SUM(J24:J27)</f>
        <v>0</v>
      </c>
      <c r="K28" s="411" t="s">
        <v>272</v>
      </c>
      <c r="L28" s="363"/>
      <c r="M28" s="363"/>
      <c r="N28" s="364"/>
      <c r="X28" s="290">
        <v>44932</v>
      </c>
      <c r="AB28" s="297">
        <v>6</v>
      </c>
    </row>
    <row r="29" spans="2:29" ht="28.5" customHeight="1">
      <c r="B29" s="449"/>
      <c r="C29" s="391" t="s">
        <v>329</v>
      </c>
      <c r="D29" s="349" t="s">
        <v>239</v>
      </c>
      <c r="E29" s="363"/>
      <c r="F29" s="484" t="s">
        <v>344</v>
      </c>
      <c r="G29" s="485"/>
      <c r="H29" s="485"/>
      <c r="I29" s="486"/>
      <c r="J29" s="414" t="str">
        <f>IFERROR(IF(LEFT(D24,5)="MACAS",
J24*1.03+(SUM(J25:J27)*1.03),
J24*1.04+(SUM(J25:J27)*1.04)),"Please fill the yellow boxes correctly !")</f>
        <v>Please fill the yellow boxes correctly !</v>
      </c>
      <c r="K29" s="412" t="s">
        <v>272</v>
      </c>
      <c r="L29" s="499" t="s">
        <v>342</v>
      </c>
      <c r="M29" s="500"/>
      <c r="N29" s="364"/>
      <c r="X29" s="290">
        <v>44933</v>
      </c>
      <c r="AB29" s="297">
        <v>7</v>
      </c>
    </row>
    <row r="30" spans="2:29" ht="28.5" customHeight="1" thickBot="1">
      <c r="B30" s="449"/>
      <c r="C30" s="365"/>
      <c r="D30" s="363"/>
      <c r="E30" s="363"/>
      <c r="F30" s="513" t="s">
        <v>343</v>
      </c>
      <c r="G30" s="514"/>
      <c r="H30" s="514"/>
      <c r="I30" s="515"/>
      <c r="J30" s="415" t="str">
        <f>IFERROR(IF(LEFT(D24,5)="MACAS",
J24*1.03*1.2+(SUM(J25:J27)*1.03*1.2),
J24*1.04*1.2+(SUM(J25:J27)*1.04*1.2)),"Please fill the yellow boxes correctly !")</f>
        <v>Please fill the yellow boxes correctly !</v>
      </c>
      <c r="K30" s="416" t="s">
        <v>272</v>
      </c>
      <c r="L30" s="499"/>
      <c r="M30" s="500"/>
      <c r="N30" s="364"/>
      <c r="X30" s="290">
        <v>44934</v>
      </c>
      <c r="AB30" s="297">
        <v>8</v>
      </c>
    </row>
    <row r="31" spans="2:29" ht="15.75" thickTop="1">
      <c r="B31" s="449"/>
      <c r="C31" s="353" t="s">
        <v>66</v>
      </c>
      <c r="D31" s="366" t="str">
        <f>IFERROR(D29-D28+1,"Select Dates")</f>
        <v>Select Dates</v>
      </c>
      <c r="E31" s="363"/>
      <c r="F31" s="363"/>
      <c r="G31" s="363"/>
      <c r="H31" s="363"/>
      <c r="I31" s="363"/>
      <c r="J31" s="363"/>
      <c r="K31" s="363"/>
      <c r="L31" s="363"/>
      <c r="M31" s="363"/>
      <c r="N31" s="364"/>
      <c r="X31" s="290">
        <v>44935</v>
      </c>
      <c r="AB31" s="297">
        <v>9</v>
      </c>
    </row>
    <row r="32" spans="2:29" ht="24" customHeight="1">
      <c r="B32" s="449"/>
      <c r="C32" s="393" t="s">
        <v>240</v>
      </c>
      <c r="D32" s="394">
        <f>G37</f>
        <v>0</v>
      </c>
      <c r="E32" s="363"/>
      <c r="F32" s="451" t="b">
        <f>IF(D24="MACAS-Somaport","***All the Storage, Plugging and Monitoring Charges are Invoiced Directly by Somaport Terminal",IF(D24="MACAS-Marsa Maroc","Storage Charge is invoiced directly by Marsa Maroc Terminal",IF(D24="MAAGA-Agadir Terminal","Storage Charge is invoiced directly by Agadir Terminal",FALSE)))</f>
        <v>0</v>
      </c>
      <c r="G32" s="451"/>
      <c r="H32" s="451"/>
      <c r="I32" s="451"/>
      <c r="J32" s="451"/>
      <c r="K32" s="451"/>
      <c r="L32" s="451"/>
      <c r="M32" s="451"/>
      <c r="N32" s="452"/>
      <c r="X32" s="290">
        <v>44936</v>
      </c>
      <c r="AB32" s="297">
        <v>10</v>
      </c>
    </row>
    <row r="33" spans="2:28" ht="15.75" thickBot="1">
      <c r="B33" s="450"/>
      <c r="C33" s="395"/>
      <c r="D33" s="396"/>
      <c r="E33" s="367"/>
      <c r="F33" s="453"/>
      <c r="G33" s="453"/>
      <c r="H33" s="453"/>
      <c r="I33" s="453"/>
      <c r="J33" s="453"/>
      <c r="K33" s="453"/>
      <c r="L33" s="453"/>
      <c r="M33" s="453"/>
      <c r="N33" s="454"/>
      <c r="X33" s="290">
        <v>44937</v>
      </c>
      <c r="AB33" s="297">
        <v>11</v>
      </c>
    </row>
    <row r="34" spans="2:28" hidden="1">
      <c r="C34" s="297"/>
      <c r="X34" s="290">
        <v>44938</v>
      </c>
      <c r="AB34" s="297">
        <v>12</v>
      </c>
    </row>
    <row r="35" spans="2:28" ht="15.75" hidden="1" thickBot="1">
      <c r="C35" s="297" t="s">
        <v>311</v>
      </c>
      <c r="D35" s="297">
        <f>IF(D33=0,D32,IF(D33&lt;=D32,D32,D33))</f>
        <v>0</v>
      </c>
      <c r="F35" s="296"/>
      <c r="K35" s="297" t="str">
        <f>D24&amp;"-Plugging-"&amp;D26</f>
        <v>&lt;make selection&gt;-Plugging-&lt;make selection&gt;</v>
      </c>
      <c r="L35" s="297" t="str">
        <f>D24&amp;"-Monitoring-"&amp;D26</f>
        <v>&lt;make selection&gt;-Monitoring-&lt;make selection&gt;</v>
      </c>
      <c r="M35" s="297" t="str">
        <f>D24&amp;"-Plugging &amp; Monitoring-"&amp;D26</f>
        <v>&lt;make selection&gt;-Plugging &amp; Monitoring-&lt;make selection&gt;</v>
      </c>
      <c r="N35" s="297" t="s">
        <v>309</v>
      </c>
      <c r="X35" s="290">
        <v>44939</v>
      </c>
      <c r="AB35" s="297">
        <v>13</v>
      </c>
    </row>
    <row r="36" spans="2:28" ht="36.75" hidden="1" thickBot="1">
      <c r="C36" s="297" t="s">
        <v>317</v>
      </c>
      <c r="D36" s="297" t="e">
        <f>IF(D31-D35&lt;11, D31-D35,10)+D35</f>
        <v>#VALUE!</v>
      </c>
      <c r="F36" s="304"/>
      <c r="G36" s="305" t="s">
        <v>2</v>
      </c>
      <c r="H36" s="305" t="s">
        <v>302</v>
      </c>
      <c r="I36" s="306" t="s">
        <v>301</v>
      </c>
      <c r="J36" s="307" t="s">
        <v>303</v>
      </c>
      <c r="K36" s="308" t="s">
        <v>278</v>
      </c>
      <c r="L36" s="309" t="s">
        <v>283</v>
      </c>
      <c r="M36" s="309" t="s">
        <v>287</v>
      </c>
      <c r="N36" s="310" t="s">
        <v>304</v>
      </c>
      <c r="X36" s="290">
        <v>44940</v>
      </c>
      <c r="AB36" s="297">
        <v>14</v>
      </c>
    </row>
    <row r="37" spans="2:28" hidden="1">
      <c r="C37" s="297"/>
      <c r="F37" s="312" t="s">
        <v>298</v>
      </c>
      <c r="G37" s="368">
        <f>IFERROR(INDEX('Storage Tariffs (Morocco)'!$A:$G,MATCH('DD Calculator (Morocco)'!C43,'Storage Tariffs (Morocco)'!A:A,0),6),0)</f>
        <v>0</v>
      </c>
      <c r="H37" s="369">
        <f>IFERROR(INDEX('Storage Tariffs (Morocco)'!$A:$G,MATCH('DD Calculator (Morocco)'!C43,'Storage Tariffs (Morocco)'!A:A,0),7),0)</f>
        <v>0</v>
      </c>
      <c r="I37" s="370"/>
      <c r="J37" s="371"/>
      <c r="K37" s="372">
        <f>IF(D25="Reefer",D40*INDEX('Storage Tariffs (Morocco)'!$A:$G,MATCH(K35,'Storage Tariffs (Morocco)'!A:A,0),7),0)</f>
        <v>0</v>
      </c>
      <c r="L37" s="373">
        <f>IFERROR(IF(D25="Reefer",D40*INDEX('Storage Tariffs (Morocco)'!$A:$G,MATCH(L35,'Storage Tariffs (Morocco)'!A:A,0),7),0),0)</f>
        <v>0</v>
      </c>
      <c r="M37" s="373">
        <f>IFERROR(IF(D25="Reefer",D40*INDEX('Storage Tariffs (Morocco)'!$A:$G,MATCH(M35,'Storage Tariffs (Morocco)'!A:A,0),7),0),0)</f>
        <v>0</v>
      </c>
      <c r="N37" s="374"/>
      <c r="X37" s="290">
        <v>44941</v>
      </c>
      <c r="AB37" s="297">
        <v>15</v>
      </c>
    </row>
    <row r="38" spans="2:28" hidden="1">
      <c r="C38" s="297"/>
      <c r="F38" s="320" t="s">
        <v>299</v>
      </c>
      <c r="G38" s="375" cm="1">
        <f t="array" ref="G38">IFERROR(INDEX('Storage Tariffs (Morocco)'!$A:$G,MATCH('DD Calculator (Morocco)'!C43,'Storage Tariffs (Morocco)'!A:A,0)+1,6),0)</f>
        <v>0</v>
      </c>
      <c r="H38" s="376" cm="1">
        <f t="array" ref="H38">IFERROR(INDEX('Storage Tariffs (Morocco)'!$A:$G,MATCH('DD Calculator (Morocco)'!C43,'Storage Tariffs (Morocco)'!A:A,0)+1,7),0)</f>
        <v>0</v>
      </c>
      <c r="I38" s="377" t="e">
        <f>IF(D40-G37&lt;0,0,D40-G37)</f>
        <v>#VALUE!</v>
      </c>
      <c r="J38" s="371" t="e">
        <f>IF(I38&gt;=G38,G38*H38,I38*H38)</f>
        <v>#VALUE!</v>
      </c>
      <c r="K38" s="372"/>
      <c r="L38" s="373"/>
      <c r="M38" s="373"/>
      <c r="N38" s="374" t="e">
        <f>J38-IF(D35-D32-G38&lt;=0,(D35-D32)*H38,G38*H38)</f>
        <v>#VALUE!</v>
      </c>
      <c r="X38" s="290">
        <v>44942</v>
      </c>
      <c r="AB38" s="297">
        <v>16</v>
      </c>
    </row>
    <row r="39" spans="2:28" ht="15.75" hidden="1" thickBot="1">
      <c r="C39" s="297"/>
      <c r="F39" s="320" t="s">
        <v>300</v>
      </c>
      <c r="G39" s="375" cm="1">
        <f t="array" ref="G39">IFERROR(IF(G38&gt;99999,0,INDEX('Storage Tariffs (Morocco)'!$A:$G,MATCH('DD Calculator (Morocco)'!C43,'Storage Tariffs (Morocco)'!A:A,0)+2,6)),0)</f>
        <v>0</v>
      </c>
      <c r="H39" s="376" cm="1">
        <f t="array" ref="H39">IFERROR(IF(G38&gt;99999,0,INDEX('Storage Tariffs (Morocco)'!$A:$G,MATCH('DD Calculator (Morocco)'!C43,'Storage Tariffs (Morocco)'!A:A,0)+2,7)),0)</f>
        <v>0</v>
      </c>
      <c r="I39" s="377" t="e">
        <f>IF(D40-G37-G38&lt;0,0,D40-G37-G38)</f>
        <v>#VALUE!</v>
      </c>
      <c r="J39" s="378" t="e">
        <f>IF(I39&gt;=G39,G39*H39,I39*H39)</f>
        <v>#VALUE!</v>
      </c>
      <c r="K39" s="379"/>
      <c r="L39" s="380"/>
      <c r="M39" s="380"/>
      <c r="N39" s="381" t="e">
        <f>J39-IF(D35-D32-G38&gt;0,(D35-D32-G38)*H39,0)</f>
        <v>#VALUE!</v>
      </c>
      <c r="X39" s="290">
        <v>44943</v>
      </c>
      <c r="AB39" s="297">
        <v>17</v>
      </c>
    </row>
    <row r="40" spans="2:28" ht="15.75" hidden="1" thickBot="1">
      <c r="C40" s="296" t="s">
        <v>293</v>
      </c>
      <c r="D40" s="382" t="str">
        <f>D31</f>
        <v>Select Dates</v>
      </c>
      <c r="F40" s="296"/>
      <c r="G40" s="383"/>
      <c r="H40" s="383"/>
      <c r="I40" s="383"/>
      <c r="J40" s="384" t="str">
        <f>IFERROR(SUM(J37:J39),"Please fill the yellow boxes correctly !")</f>
        <v>Please fill the yellow boxes correctly !</v>
      </c>
      <c r="K40" s="385">
        <f>IF(AND(D24="MACAS-Marsa Maroc", D25="Reefer"),300,SUM(K37:K39))</f>
        <v>0</v>
      </c>
      <c r="L40" s="386">
        <f t="shared" ref="L40:M40" si="0">SUM(L37:L39)</f>
        <v>0</v>
      </c>
      <c r="M40" s="385">
        <f t="shared" si="0"/>
        <v>0</v>
      </c>
      <c r="N40" s="387">
        <f>IFERROR(SUM(N37:N39),0)</f>
        <v>0</v>
      </c>
      <c r="X40" s="290">
        <v>44944</v>
      </c>
      <c r="AB40" s="297">
        <v>18</v>
      </c>
    </row>
    <row r="41" spans="2:28" hidden="1">
      <c r="F41" s="296"/>
      <c r="X41" s="290">
        <v>44945</v>
      </c>
      <c r="AB41" s="297">
        <v>19</v>
      </c>
    </row>
    <row r="42" spans="2:28" hidden="1">
      <c r="X42" s="290">
        <v>44946</v>
      </c>
      <c r="AB42" s="297">
        <v>20</v>
      </c>
    </row>
    <row r="43" spans="2:28" hidden="1">
      <c r="C43" s="303" t="str">
        <f>D24&amp;"-"&amp;D25&amp;"-"&amp;D26</f>
        <v>&lt;make selection&gt;-&lt;make selection&gt;-&lt;make selection&gt;</v>
      </c>
      <c r="X43" s="290">
        <v>44947</v>
      </c>
    </row>
    <row r="44" spans="2:28" hidden="1">
      <c r="X44" s="290">
        <v>44948</v>
      </c>
    </row>
    <row r="45" spans="2:28" hidden="1">
      <c r="X45" s="290">
        <v>44949</v>
      </c>
    </row>
    <row r="46" spans="2:28" hidden="1">
      <c r="X46" s="290">
        <v>44950</v>
      </c>
    </row>
    <row r="47" spans="2:28" hidden="1">
      <c r="X47" s="290">
        <v>44951</v>
      </c>
    </row>
    <row r="48" spans="2:28" hidden="1">
      <c r="C48" s="2" t="s">
        <v>62</v>
      </c>
      <c r="D48" s="2" t="e">
        <f>G49</f>
        <v>#N/A</v>
      </c>
      <c r="E48" s="2" t="str">
        <f>E57</f>
        <v>MAD</v>
      </c>
      <c r="F48" s="2" t="s">
        <v>16</v>
      </c>
      <c r="G48" s="2" t="s">
        <v>17</v>
      </c>
      <c r="H48" s="2"/>
      <c r="X48" s="290">
        <v>44952</v>
      </c>
    </row>
    <row r="49" spans="3:24" hidden="1">
      <c r="C49" s="2" t="s">
        <v>63</v>
      </c>
      <c r="D49" s="2" t="e">
        <f>IF(D13&lt;(D14+D15),0,
IF((D13-C51)&lt;=D51,(D13-C51)*D52,
IF((D13-C51-D51)&lt;=E51,
((D13-C51-D51)*E52+D51*D52),
IF((D13-C51-D51-E51)&lt;=F51,(E51*E52+D51*D52+(D13-C51-D51-E51)*F52),
D51*D52+E51*E52+F51*F52+G52*(D13-C51-D51-E51-F51)))))-
IF((D14+D15)-C51&lt;=D51,((D14+D15)-C51)*D52,
IF((D14+D15)-C51-D51&lt;=E51,(D51*D52+((D14+D15)-C51-D51)*E52),
IF((D14+D15)-C51-D51-E51&lt;=F51,D51*D52+E51*E52+((D14+D15)-C51-D51-E51)*F52,D51*D52+E51*E52+F51*F52+((D14+D15)-C51-D51-E51-F51)*G52)))</f>
        <v>#N/A</v>
      </c>
      <c r="E49" s="2" t="str">
        <f>E57</f>
        <v>MAD</v>
      </c>
      <c r="F49" s="2" t="e">
        <f>IF((D14+D15)-C51&lt;=D51,
((D14+D15)-C51)*D52,
IF((D14+D15)-C51-D51&lt;=E51,
(D51*D52+((D14+D15)-C51-D51)*E52),
D51*D52+E51*E52+F51*((D14+D15)-C51-D51-E51)))</f>
        <v>#N/A</v>
      </c>
      <c r="G49" s="2" t="e">
        <f>IF((D13-C51)&lt;=D51,
(D13-C51)*D52,
IF((D13-C51-D51)&lt;=E51,
((D13-C51-D51)*E52+D51*D52),
IF((D13-C51-D51-E51)&lt;=F51,
(D51*D52+E51*E52+F52*(D13-C51-D51-E51)),
(D51*D52+E51*E52+F51*F52+G52*(D13-C51-D51-E51-F51))
)))</f>
        <v>#N/A</v>
      </c>
      <c r="H49" s="2" t="e">
        <f>G49-F49</f>
        <v>#N/A</v>
      </c>
      <c r="X49" s="290">
        <v>44953</v>
      </c>
    </row>
    <row r="50" spans="3:24" hidden="1">
      <c r="C50" s="2" t="s">
        <v>12</v>
      </c>
      <c r="D50" s="2" t="s">
        <v>13</v>
      </c>
      <c r="E50" s="2" t="s">
        <v>14</v>
      </c>
      <c r="F50" s="2" t="s">
        <v>169</v>
      </c>
      <c r="G50" s="2" t="s">
        <v>15</v>
      </c>
      <c r="H50" s="2"/>
      <c r="X50" s="290">
        <v>44954</v>
      </c>
    </row>
    <row r="51" spans="3:24" hidden="1">
      <c r="C51" s="2" t="e">
        <f>INDEX($D$56:$U$60,1,MATCH($D$10,$D$54:$U$54,0))</f>
        <v>#N/A</v>
      </c>
      <c r="D51" s="2" t="e">
        <f>INDEX($D$56:$U$60,2,MATCH($D$10,$D$54:$U$54,0))</f>
        <v>#N/A</v>
      </c>
      <c r="E51" s="2" t="e">
        <f>INDEX($D$56:$U$60,3,MATCH($D$10,$D$54:$U$54,0))</f>
        <v>#N/A</v>
      </c>
      <c r="F51" s="2" t="e">
        <f>INDEX($D$56:$U$60,4,MATCH($D$10,$D$54:$U$54,0))</f>
        <v>#N/A</v>
      </c>
      <c r="G51" s="2" t="e">
        <f>INDEX($D$56:$U$60,5,MATCH($D$10,$D$54:$U$54,0))</f>
        <v>#N/A</v>
      </c>
      <c r="H51" s="2"/>
      <c r="X51" s="290">
        <v>44955</v>
      </c>
    </row>
    <row r="52" spans="3:24" hidden="1">
      <c r="C52" s="2" t="e" cm="1">
        <f t="array" ref="C52">INDEX($D$56:$U$60,1,MATCH($D$10,$D$54:$U$54,0)+2)</f>
        <v>#N/A</v>
      </c>
      <c r="D52" s="2" t="e">
        <f>INDEX($D$56:$U$60,2,MATCH($D$10,$D$54:$U$54,0)+2)</f>
        <v>#N/A</v>
      </c>
      <c r="E52" s="2" t="e">
        <f>INDEX($D$56:$U$60,3,MATCH($D$10,$D$54:$U$54,0)+2)</f>
        <v>#N/A</v>
      </c>
      <c r="F52" s="2" t="e">
        <f>INDEX($D$56:$U$60,4,MATCH($D$10,$D$54:$U$54,0)+2)</f>
        <v>#N/A</v>
      </c>
      <c r="G52" s="2" t="e">
        <f>INDEX($D$56:$U$60,5,MATCH($D$10,$D$54:$U$54,0)+2)</f>
        <v>#N/A</v>
      </c>
      <c r="H52" s="2"/>
      <c r="X52" s="290">
        <v>44956</v>
      </c>
    </row>
    <row r="53" spans="3:24">
      <c r="X53" s="290">
        <v>44957</v>
      </c>
    </row>
    <row r="54" spans="3:24" ht="63">
      <c r="C54" s="33" t="s">
        <v>337</v>
      </c>
      <c r="D54" s="342" t="s">
        <v>8</v>
      </c>
      <c r="E54" s="335" t="s">
        <v>8</v>
      </c>
      <c r="F54" s="341" t="s">
        <v>8</v>
      </c>
      <c r="G54" s="342" t="s">
        <v>55</v>
      </c>
      <c r="H54" s="335" t="s">
        <v>55</v>
      </c>
      <c r="I54" s="341" t="s">
        <v>55</v>
      </c>
      <c r="J54" s="342" t="s">
        <v>9</v>
      </c>
      <c r="K54" s="335" t="s">
        <v>9</v>
      </c>
      <c r="L54" s="341" t="s">
        <v>9</v>
      </c>
      <c r="M54" s="342" t="s">
        <v>56</v>
      </c>
      <c r="N54" s="335" t="s">
        <v>56</v>
      </c>
      <c r="O54" s="341" t="s">
        <v>56</v>
      </c>
      <c r="P54" s="342" t="s">
        <v>10</v>
      </c>
      <c r="Q54" s="335" t="s">
        <v>10</v>
      </c>
      <c r="R54" s="341" t="s">
        <v>10</v>
      </c>
      <c r="S54" s="342" t="s">
        <v>57</v>
      </c>
      <c r="T54" s="335" t="s">
        <v>57</v>
      </c>
      <c r="U54" s="341" t="s">
        <v>57</v>
      </c>
      <c r="X54" s="290">
        <v>44958</v>
      </c>
    </row>
    <row r="55" spans="3:24" ht="45">
      <c r="C55" s="38" t="s">
        <v>11</v>
      </c>
      <c r="D55" s="334" t="s">
        <v>2</v>
      </c>
      <c r="E55" s="334" t="s">
        <v>3</v>
      </c>
      <c r="F55" s="334" t="s">
        <v>4</v>
      </c>
      <c r="G55" s="334" t="s">
        <v>2</v>
      </c>
      <c r="H55" s="334" t="s">
        <v>3</v>
      </c>
      <c r="I55" s="334" t="s">
        <v>4</v>
      </c>
      <c r="J55" s="334" t="s">
        <v>2</v>
      </c>
      <c r="K55" s="334" t="s">
        <v>3</v>
      </c>
      <c r="L55" s="334" t="s">
        <v>4</v>
      </c>
      <c r="M55" s="334" t="s">
        <v>2</v>
      </c>
      <c r="N55" s="334" t="s">
        <v>3</v>
      </c>
      <c r="O55" s="334" t="s">
        <v>4</v>
      </c>
      <c r="P55" s="334" t="s">
        <v>2</v>
      </c>
      <c r="Q55" s="334" t="s">
        <v>3</v>
      </c>
      <c r="R55" s="334" t="s">
        <v>4</v>
      </c>
      <c r="S55" s="334" t="s">
        <v>2</v>
      </c>
      <c r="T55" s="334" t="s">
        <v>3</v>
      </c>
      <c r="U55" s="334" t="s">
        <v>4</v>
      </c>
      <c r="X55" s="290">
        <v>44959</v>
      </c>
    </row>
    <row r="56" spans="3:24">
      <c r="C56" s="38" t="s">
        <v>1</v>
      </c>
      <c r="D56" s="39">
        <f>INDEX(Tariffs!$A$3:$T$108,MATCH("Morocco",Tariffs!$A$3:$A$108,0),D$61)</f>
        <v>7</v>
      </c>
      <c r="E56" s="39" t="str">
        <f>INDEX(Tariffs!$A$3:$T$108,MATCH("Morocco",Tariffs!$A$3:$A$108,0),E$61)</f>
        <v/>
      </c>
      <c r="F56" s="39">
        <f>INDEX(Tariffs!$A$3:$T$108,MATCH("Morocco",Tariffs!$A$3:$A$108,0),F$61)</f>
        <v>0</v>
      </c>
      <c r="G56" s="39">
        <f>INDEX(Tariffs!$A$3:$T$108,MATCH("Morocco",Tariffs!$A$3:$A$108,0),G$61)</f>
        <v>7</v>
      </c>
      <c r="H56" s="39" t="str">
        <f>INDEX(Tariffs!$A$3:$T$108,MATCH("Morocco",Tariffs!$A$3:$A$108,0),H$61)</f>
        <v/>
      </c>
      <c r="I56" s="39">
        <f>INDEX(Tariffs!$A$3:$T$108,MATCH("Morocco",Tariffs!$A$3:$A$108,0),I$61)</f>
        <v>0</v>
      </c>
      <c r="J56" s="39">
        <f>INDEX(Tariffs!$A$3:$T$108,MATCH("Morocco",Tariffs!$A$3:$A$108,0),J$61)</f>
        <v>7</v>
      </c>
      <c r="K56" s="39" t="str">
        <f>INDEX(Tariffs!$A$3:$T$108,MATCH("Morocco",Tariffs!$A$3:$A$108,0),K$61)</f>
        <v/>
      </c>
      <c r="L56" s="39">
        <f>INDEX(Tariffs!$A$3:$T$108,MATCH("Morocco",Tariffs!$A$3:$A$108,0),L$61)</f>
        <v>0</v>
      </c>
      <c r="M56" s="39">
        <f>INDEX(Tariffs!$A$3:$T$108,MATCH("Morocco",Tariffs!$A$3:$A$108,0),M$61)</f>
        <v>7</v>
      </c>
      <c r="N56" s="39" t="str">
        <f>INDEX(Tariffs!$A$3:$T$108,MATCH("Morocco",Tariffs!$A$3:$A$108,0),N$61)</f>
        <v/>
      </c>
      <c r="O56" s="39">
        <f>INDEX(Tariffs!$A$3:$T$108,MATCH("Morocco",Tariffs!$A$3:$A$108,0),O$61)</f>
        <v>0</v>
      </c>
      <c r="P56" s="39">
        <f>INDEX(Tariffs!$A$3:$T$108,MATCH("Morocco",Tariffs!$A$3:$A$108,0),P$61)</f>
        <v>3</v>
      </c>
      <c r="Q56" s="39" t="str">
        <f>INDEX(Tariffs!$A$3:$T$108,MATCH("Morocco",Tariffs!$A$3:$A$108,0),Q$61)</f>
        <v/>
      </c>
      <c r="R56" s="39">
        <f>INDEX(Tariffs!$A$3:$T$108,MATCH("Morocco",Tariffs!$A$3:$A$108,0),R$61)</f>
        <v>0</v>
      </c>
      <c r="S56" s="39">
        <f>INDEX(Tariffs!$A$3:$T$108,MATCH("Morocco",Tariffs!$A$3:$A$108,0),S$61)</f>
        <v>3</v>
      </c>
      <c r="T56" s="39" t="str">
        <f>INDEX(Tariffs!$A$3:$T$108,MATCH("Morocco",Tariffs!$A$3:$A$108,0),T$61)</f>
        <v/>
      </c>
      <c r="U56" s="39">
        <f>INDEX(Tariffs!$A$3:$T$108,MATCH("Morocco",Tariffs!$A$3:$A$108,0),U$61)</f>
        <v>0</v>
      </c>
      <c r="X56" s="290">
        <v>44960</v>
      </c>
    </row>
    <row r="57" spans="3:24">
      <c r="C57" s="38" t="s">
        <v>5</v>
      </c>
      <c r="D57" s="39">
        <f>INDEX(Tariffs!$A$3:$T$108,MATCH("Morocco",Tariffs!$A$3:$A$108,0)+1,D$61)</f>
        <v>5</v>
      </c>
      <c r="E57" s="39" t="str">
        <f>INDEX(Tariffs!$A$3:$T$108,MATCH("Morocco",Tariffs!$A$3:$A$108,0)+1,E$61)</f>
        <v>MAD</v>
      </c>
      <c r="F57" s="39">
        <f>INDEX(Tariffs!$A$3:$T$108,MATCH("Morocco",Tariffs!$A$3:$A$108,0)+1,F$61)</f>
        <v>227</v>
      </c>
      <c r="G57" s="39">
        <f>INDEX(Tariffs!$A$3:$T$108,MATCH("Morocco",Tariffs!$A$3:$A$108,0)+1,G$61)</f>
        <v>5</v>
      </c>
      <c r="H57" s="39" t="str">
        <f>INDEX(Tariffs!$A$3:$T$108,MATCH("Morocco",Tariffs!$A$3:$A$108,0)+1,H$61)</f>
        <v>MAD</v>
      </c>
      <c r="I57" s="39">
        <f>INDEX(Tariffs!$A$3:$T$108,MATCH("Morocco",Tariffs!$A$3:$A$108,0)+1,I$61)</f>
        <v>454</v>
      </c>
      <c r="J57" s="39">
        <f>INDEX(Tariffs!$A$3:$T$108,MATCH("Morocco",Tariffs!$A$3:$A$108,0)+1,J$61)</f>
        <v>5</v>
      </c>
      <c r="K57" s="39" t="str">
        <f>INDEX(Tariffs!$A$3:$T$108,MATCH("Morocco",Tariffs!$A$3:$A$108,0)+1,K$61)</f>
        <v>MAD</v>
      </c>
      <c r="L57" s="39">
        <f>INDEX(Tariffs!$A$3:$T$108,MATCH("Morocco",Tariffs!$A$3:$A$108,0)+1,L$61)</f>
        <v>378</v>
      </c>
      <c r="M57" s="39">
        <f>INDEX(Tariffs!$A$3:$T$108,MATCH("Morocco",Tariffs!$A$3:$A$108,0)+1,M$61)</f>
        <v>5</v>
      </c>
      <c r="N57" s="39" t="str">
        <f>INDEX(Tariffs!$A$3:$T$108,MATCH("Morocco",Tariffs!$A$3:$A$108,0)+1,N$61)</f>
        <v>MAD</v>
      </c>
      <c r="O57" s="39">
        <f>INDEX(Tariffs!$A$3:$T$108,MATCH("Morocco",Tariffs!$A$3:$A$108,0)+1,O$61)</f>
        <v>756</v>
      </c>
      <c r="P57" s="39">
        <f>INDEX(Tariffs!$A$3:$T$108,MATCH("Morocco",Tariffs!$A$3:$A$108,0)+1,P$61)</f>
        <v>5</v>
      </c>
      <c r="Q57" s="39" t="str">
        <f>INDEX(Tariffs!$A$3:$T$108,MATCH("Morocco",Tariffs!$A$3:$A$108,0)+1,Q$61)</f>
        <v>MAD</v>
      </c>
      <c r="R57" s="39">
        <f>INDEX(Tariffs!$A$3:$T$108,MATCH("Morocco",Tariffs!$A$3:$A$108,0)+1,R$61)</f>
        <v>715</v>
      </c>
      <c r="S57" s="39">
        <f>INDEX(Tariffs!$A$3:$T$108,MATCH("Morocco",Tariffs!$A$3:$A$108,0)+1,S$61)</f>
        <v>5</v>
      </c>
      <c r="T57" s="39" t="str">
        <f>INDEX(Tariffs!$A$3:$T$108,MATCH("Morocco",Tariffs!$A$3:$A$108,0)+1,T$61)</f>
        <v>MAD</v>
      </c>
      <c r="U57" s="39">
        <f>INDEX(Tariffs!$A$3:$T$108,MATCH("Morocco",Tariffs!$A$3:$A$108,0)+1,U$61)</f>
        <v>1430</v>
      </c>
      <c r="X57" s="290">
        <v>44961</v>
      </c>
    </row>
    <row r="58" spans="3:24">
      <c r="C58" s="38" t="s">
        <v>7</v>
      </c>
      <c r="D58" s="39">
        <f>INDEX(Tariffs!$A$3:$T$108,MATCH("Morocco",Tariffs!$A$3:$A$108,0)+2,D$61)</f>
        <v>7</v>
      </c>
      <c r="E58" s="39" t="str">
        <f>INDEX(Tariffs!$A$3:$T$108,MATCH("Morocco",Tariffs!$A$3:$A$108,0)+2,E$61)</f>
        <v>MAD</v>
      </c>
      <c r="F58" s="39">
        <f>INDEX(Tariffs!$A$3:$T$108,MATCH("Morocco",Tariffs!$A$3:$A$108,0)+2,F$61)</f>
        <v>378</v>
      </c>
      <c r="G58" s="39">
        <f>INDEX(Tariffs!$A$3:$T$108,MATCH("Morocco",Tariffs!$A$3:$A$108,0)+2,G$61)</f>
        <v>7</v>
      </c>
      <c r="H58" s="39" t="str">
        <f>INDEX(Tariffs!$A$3:$T$108,MATCH("Morocco",Tariffs!$A$3:$A$108,0)+2,H$61)</f>
        <v>MAD</v>
      </c>
      <c r="I58" s="39">
        <f>INDEX(Tariffs!$A$3:$T$108,MATCH("Morocco",Tariffs!$A$3:$A$108,0)+2,I$61)</f>
        <v>756</v>
      </c>
      <c r="J58" s="39">
        <f>INDEX(Tariffs!$A$3:$T$108,MATCH("Morocco",Tariffs!$A$3:$A$108,0)+2,J$61)</f>
        <v>7</v>
      </c>
      <c r="K58" s="39" t="str">
        <f>INDEX(Tariffs!$A$3:$T$108,MATCH("Morocco",Tariffs!$A$3:$A$108,0)+2,K$61)</f>
        <v>MAD</v>
      </c>
      <c r="L58" s="39">
        <f>INDEX(Tariffs!$A$3:$T$108,MATCH("Morocco",Tariffs!$A$3:$A$108,0)+2,L$61)</f>
        <v>529</v>
      </c>
      <c r="M58" s="39">
        <f>INDEX(Tariffs!$A$3:$T$108,MATCH("Morocco",Tariffs!$A$3:$A$108,0)+2,M$61)</f>
        <v>7</v>
      </c>
      <c r="N58" s="39" t="str">
        <f>INDEX(Tariffs!$A$3:$T$108,MATCH("Morocco",Tariffs!$A$3:$A$108,0)+2,N$61)</f>
        <v>MAD</v>
      </c>
      <c r="O58" s="39">
        <f>INDEX(Tariffs!$A$3:$T$108,MATCH("Morocco",Tariffs!$A$3:$A$108,0)+2,O$61)</f>
        <v>1058</v>
      </c>
      <c r="P58" s="39">
        <f>INDEX(Tariffs!$A$3:$T$108,MATCH("Morocco",Tariffs!$A$3:$A$108,0)+2,P$61)</f>
        <v>10</v>
      </c>
      <c r="Q58" s="39" t="str">
        <f>INDEX(Tariffs!$A$3:$T$108,MATCH("Morocco",Tariffs!$A$3:$A$108,0)+2,Q$61)</f>
        <v>MAD</v>
      </c>
      <c r="R58" s="39">
        <f>INDEX(Tariffs!$A$3:$T$108,MATCH("Morocco",Tariffs!$A$3:$A$108,0)+2,R$61)</f>
        <v>786</v>
      </c>
      <c r="S58" s="39">
        <f>INDEX(Tariffs!$A$3:$T$108,MATCH("Morocco",Tariffs!$A$3:$A$108,0)+2,S$61)</f>
        <v>10</v>
      </c>
      <c r="T58" s="39" t="str">
        <f>INDEX(Tariffs!$A$3:$T$108,MATCH("Morocco",Tariffs!$A$3:$A$108,0)+2,T$61)</f>
        <v>MAD</v>
      </c>
      <c r="U58" s="39">
        <f>INDEX(Tariffs!$A$3:$T$108,MATCH("Morocco",Tariffs!$A$3:$A$108,0)+2,U$61)</f>
        <v>1572</v>
      </c>
      <c r="X58" s="290">
        <v>44962</v>
      </c>
    </row>
    <row r="59" spans="3:24">
      <c r="C59" s="38" t="s">
        <v>219</v>
      </c>
      <c r="D59" s="39">
        <f>INDEX(Tariffs!$A$3:$T$108,MATCH("Morocco",Tariffs!$A$3:$A$108,0)+3,D$61)</f>
        <v>10</v>
      </c>
      <c r="E59" s="39" t="str">
        <f>INDEX(Tariffs!$A$3:$T$108,MATCH("Morocco",Tariffs!$A$3:$A$108,0)+3,E$61)</f>
        <v>MAD</v>
      </c>
      <c r="F59" s="39">
        <f>INDEX(Tariffs!$A$3:$T$108,MATCH("Morocco",Tariffs!$A$3:$A$108,0)+3,F$61)</f>
        <v>529</v>
      </c>
      <c r="G59" s="39">
        <f>INDEX(Tariffs!$A$3:$T$108,MATCH("Morocco",Tariffs!$A$3:$A$108,0)+3,G$61)</f>
        <v>10</v>
      </c>
      <c r="H59" s="39" t="str">
        <f>INDEX(Tariffs!$A$3:$T$108,MATCH("Morocco",Tariffs!$A$3:$A$108,0)+3,H$61)</f>
        <v>MAD</v>
      </c>
      <c r="I59" s="39">
        <f>INDEX(Tariffs!$A$3:$T$108,MATCH("Morocco",Tariffs!$A$3:$A$108,0)+3,I$61)</f>
        <v>1058</v>
      </c>
      <c r="J59" s="39">
        <f>INDEX(Tariffs!$A$3:$T$108,MATCH("Morocco",Tariffs!$A$3:$A$108,0)+3,J$61)</f>
        <v>10</v>
      </c>
      <c r="K59" s="39" t="str">
        <f>INDEX(Tariffs!$A$3:$T$108,MATCH("Morocco",Tariffs!$A$3:$A$108,0)+3,K$61)</f>
        <v>MAD</v>
      </c>
      <c r="L59" s="39">
        <f>INDEX(Tariffs!$A$3:$T$108,MATCH("Morocco",Tariffs!$A$3:$A$108,0)+3,L$61)</f>
        <v>681</v>
      </c>
      <c r="M59" s="39">
        <f>INDEX(Tariffs!$A$3:$T$108,MATCH("Morocco",Tariffs!$A$3:$A$108,0)+3,M$61)</f>
        <v>10</v>
      </c>
      <c r="N59" s="39" t="str">
        <f>INDEX(Tariffs!$A$3:$T$108,MATCH("Morocco",Tariffs!$A$3:$A$108,0)+3,N$61)</f>
        <v>MAD</v>
      </c>
      <c r="O59" s="39">
        <f>INDEX(Tariffs!$A$3:$T$108,MATCH("Morocco",Tariffs!$A$3:$A$108,0)+3,O$61)</f>
        <v>1362</v>
      </c>
      <c r="P59" s="39">
        <f>INDEX(Tariffs!$A$3:$T$108,MATCH("Morocco",Tariffs!$A$3:$A$108,0)+3,P$61)</f>
        <v>15</v>
      </c>
      <c r="Q59" s="39" t="str">
        <f>INDEX(Tariffs!$A$3:$T$108,MATCH("Morocco",Tariffs!$A$3:$A$108,0)+3,Q$61)</f>
        <v>MAD</v>
      </c>
      <c r="R59" s="39">
        <f>INDEX(Tariffs!$A$3:$T$108,MATCH("Morocco",Tariffs!$A$3:$A$108,0)+3,R$61)</f>
        <v>894</v>
      </c>
      <c r="S59" s="39">
        <f>INDEX(Tariffs!$A$3:$T$108,MATCH("Morocco",Tariffs!$A$3:$A$108,0)+3,S$61)</f>
        <v>15</v>
      </c>
      <c r="T59" s="39" t="str">
        <f>INDEX(Tariffs!$A$3:$T$108,MATCH("Morocco",Tariffs!$A$3:$A$108,0)+3,T$61)</f>
        <v>MAD</v>
      </c>
      <c r="U59" s="39">
        <f>INDEX(Tariffs!$A$3:$T$108,MATCH("Morocco",Tariffs!$A$3:$A$108,0)+3,U$61)</f>
        <v>1788</v>
      </c>
      <c r="X59" s="290">
        <v>44963</v>
      </c>
    </row>
    <row r="60" spans="3:24">
      <c r="C60" s="38" t="s">
        <v>0</v>
      </c>
      <c r="D60" s="39">
        <f>INDEX(Tariffs!$A$3:$T$108,MATCH("Morocco",Tariffs!$A$3:$A$108,0)+4,D$61)</f>
        <v>99999</v>
      </c>
      <c r="E60" s="39" t="str">
        <f>INDEX(Tariffs!$A$3:$T$108,MATCH("Morocco",Tariffs!$A$3:$A$108,0)+4,E$61)</f>
        <v>MAD</v>
      </c>
      <c r="F60" s="39">
        <f>INDEX(Tariffs!$A$3:$T$108,MATCH("Morocco",Tariffs!$A$3:$A$108,0)+4,F$61)</f>
        <v>619</v>
      </c>
      <c r="G60" s="39">
        <f>INDEX(Tariffs!$A$3:$T$108,MATCH("Morocco",Tariffs!$A$3:$A$108,0)+4,G$61)</f>
        <v>99999</v>
      </c>
      <c r="H60" s="39" t="str">
        <f>INDEX(Tariffs!$A$3:$T$108,MATCH("Morocco",Tariffs!$A$3:$A$108,0)+4,H$61)</f>
        <v>MAD</v>
      </c>
      <c r="I60" s="39">
        <f>INDEX(Tariffs!$A$3:$T$108,MATCH("Morocco",Tariffs!$A$3:$A$108,0)+4,I$61)</f>
        <v>1238</v>
      </c>
      <c r="J60" s="39">
        <f>INDEX(Tariffs!$A$3:$T$108,MATCH("Morocco",Tariffs!$A$3:$A$108,0)+4,J$61)</f>
        <v>99999</v>
      </c>
      <c r="K60" s="39" t="str">
        <f>INDEX(Tariffs!$A$3:$T$108,MATCH("Morocco",Tariffs!$A$3:$A$108,0)+4,K$61)</f>
        <v>MAD</v>
      </c>
      <c r="L60" s="39">
        <f>INDEX(Tariffs!$A$3:$T$108,MATCH("Morocco",Tariffs!$A$3:$A$108,0)+4,L$61)</f>
        <v>797</v>
      </c>
      <c r="M60" s="39">
        <f>INDEX(Tariffs!$A$3:$T$108,MATCH("Morocco",Tariffs!$A$3:$A$108,0)+4,M$61)</f>
        <v>99999</v>
      </c>
      <c r="N60" s="39" t="str">
        <f>INDEX(Tariffs!$A$3:$T$108,MATCH("Morocco",Tariffs!$A$3:$A$108,0)+4,N$61)</f>
        <v>MAD</v>
      </c>
      <c r="O60" s="39">
        <f>INDEX(Tariffs!$A$3:$T$108,MATCH("Morocco",Tariffs!$A$3:$A$108,0)+4,O$61)</f>
        <v>1594</v>
      </c>
      <c r="P60" s="39">
        <f>INDEX(Tariffs!$A$3:$T$108,MATCH("Morocco",Tariffs!$A$3:$A$108,0)+4,P$61)</f>
        <v>99999</v>
      </c>
      <c r="Q60" s="39" t="str">
        <f>INDEX(Tariffs!$A$3:$T$108,MATCH("Morocco",Tariffs!$A$3:$A$108,0)+4,Q$61)</f>
        <v>MAD</v>
      </c>
      <c r="R60" s="39">
        <f>INDEX(Tariffs!$A$3:$T$108,MATCH("Morocco",Tariffs!$A$3:$A$108,0)+4,R$61)</f>
        <v>1037</v>
      </c>
      <c r="S60" s="39">
        <f>INDEX(Tariffs!$A$3:$T$108,MATCH("Morocco",Tariffs!$A$3:$A$108,0)+4,S$61)</f>
        <v>99999</v>
      </c>
      <c r="T60" s="39" t="str">
        <f>INDEX(Tariffs!$A$3:$T$108,MATCH("Morocco",Tariffs!$A$3:$A$108,0)+4,T$61)</f>
        <v>MAD</v>
      </c>
      <c r="U60" s="39">
        <f>INDEX(Tariffs!$A$3:$T$108,MATCH("Morocco",Tariffs!$A$3:$A$108,0)+4,U$61)</f>
        <v>2074</v>
      </c>
      <c r="X60" s="290">
        <v>44964</v>
      </c>
    </row>
    <row r="61" spans="3:24">
      <c r="C61" s="333"/>
      <c r="D61" s="333">
        <v>3</v>
      </c>
      <c r="E61" s="333">
        <v>4</v>
      </c>
      <c r="F61" s="333">
        <v>5</v>
      </c>
      <c r="G61" s="333">
        <v>6</v>
      </c>
      <c r="H61" s="333">
        <v>7</v>
      </c>
      <c r="I61" s="333">
        <v>8</v>
      </c>
      <c r="J61" s="333">
        <v>9</v>
      </c>
      <c r="K61" s="333">
        <v>10</v>
      </c>
      <c r="L61" s="333">
        <v>11</v>
      </c>
      <c r="M61" s="333">
        <v>12</v>
      </c>
      <c r="N61" s="333">
        <v>13</v>
      </c>
      <c r="O61" s="333">
        <v>14</v>
      </c>
      <c r="P61" s="333">
        <v>15</v>
      </c>
      <c r="Q61" s="333">
        <v>16</v>
      </c>
      <c r="R61" s="333">
        <v>17</v>
      </c>
      <c r="S61" s="333">
        <v>18</v>
      </c>
      <c r="T61" s="333">
        <v>19</v>
      </c>
      <c r="U61" s="333">
        <v>20</v>
      </c>
      <c r="X61" s="290">
        <v>44965</v>
      </c>
    </row>
    <row r="62" spans="3:24">
      <c r="C62" s="99"/>
      <c r="D62" s="99"/>
      <c r="E62" s="99"/>
      <c r="F62" s="99"/>
      <c r="G62" s="99"/>
      <c r="H62" s="99"/>
      <c r="I62" s="99"/>
      <c r="J62" s="99"/>
      <c r="K62" s="99"/>
      <c r="L62" s="99"/>
      <c r="M62" s="99"/>
      <c r="N62" s="99"/>
      <c r="O62" s="99"/>
      <c r="P62" s="99"/>
      <c r="Q62" s="99"/>
      <c r="R62" s="99"/>
      <c r="S62" s="99"/>
      <c r="T62" s="99"/>
      <c r="U62" s="99"/>
      <c r="X62" s="290">
        <v>44966</v>
      </c>
    </row>
    <row r="63" spans="3:24">
      <c r="C63" s="297"/>
      <c r="X63" s="290">
        <v>44967</v>
      </c>
    </row>
    <row r="64" spans="3:24">
      <c r="C64" s="297"/>
      <c r="X64" s="290">
        <v>44968</v>
      </c>
    </row>
    <row r="65" spans="3:24">
      <c r="C65" s="297"/>
      <c r="X65" s="290">
        <v>44969</v>
      </c>
    </row>
    <row r="66" spans="3:24">
      <c r="C66" s="297"/>
      <c r="X66" s="290">
        <v>44970</v>
      </c>
    </row>
    <row r="67" spans="3:24">
      <c r="C67" s="297"/>
      <c r="X67" s="290">
        <v>44971</v>
      </c>
    </row>
    <row r="68" spans="3:24">
      <c r="C68" s="297"/>
      <c r="X68" s="290">
        <v>44972</v>
      </c>
    </row>
    <row r="69" spans="3:24">
      <c r="C69" s="297"/>
      <c r="X69" s="290">
        <v>44973</v>
      </c>
    </row>
    <row r="70" spans="3:24">
      <c r="C70" s="297"/>
      <c r="X70" s="290">
        <v>44974</v>
      </c>
    </row>
    <row r="71" spans="3:24">
      <c r="C71" s="297"/>
      <c r="X71" s="290">
        <v>44975</v>
      </c>
    </row>
    <row r="72" spans="3:24">
      <c r="C72" s="297"/>
      <c r="X72" s="290">
        <v>44976</v>
      </c>
    </row>
    <row r="73" spans="3:24">
      <c r="C73" s="297"/>
      <c r="X73" s="290">
        <v>44977</v>
      </c>
    </row>
    <row r="74" spans="3:24">
      <c r="C74" s="297"/>
      <c r="X74" s="290">
        <v>44978</v>
      </c>
    </row>
    <row r="75" spans="3:24">
      <c r="C75" s="297"/>
      <c r="X75" s="290">
        <v>44979</v>
      </c>
    </row>
    <row r="76" spans="3:24">
      <c r="X76" s="290">
        <v>44980</v>
      </c>
    </row>
    <row r="77" spans="3:24">
      <c r="X77" s="290">
        <v>44981</v>
      </c>
    </row>
    <row r="78" spans="3:24">
      <c r="X78" s="290">
        <v>44982</v>
      </c>
    </row>
    <row r="79" spans="3:24">
      <c r="X79" s="290">
        <v>44983</v>
      </c>
    </row>
    <row r="80" spans="3:24">
      <c r="X80" s="290">
        <v>44984</v>
      </c>
    </row>
    <row r="81" spans="24:24">
      <c r="X81" s="290">
        <v>44985</v>
      </c>
    </row>
    <row r="82" spans="24:24">
      <c r="X82" s="290">
        <v>44986</v>
      </c>
    </row>
    <row r="83" spans="24:24">
      <c r="X83" s="290">
        <v>44987</v>
      </c>
    </row>
    <row r="84" spans="24:24">
      <c r="X84" s="290">
        <v>44988</v>
      </c>
    </row>
    <row r="85" spans="24:24">
      <c r="X85" s="290">
        <v>44989</v>
      </c>
    </row>
    <row r="86" spans="24:24">
      <c r="X86" s="290">
        <v>44990</v>
      </c>
    </row>
    <row r="87" spans="24:24">
      <c r="X87" s="290">
        <v>44991</v>
      </c>
    </row>
    <row r="88" spans="24:24">
      <c r="X88" s="290">
        <v>44992</v>
      </c>
    </row>
    <row r="89" spans="24:24">
      <c r="X89" s="290">
        <v>44993</v>
      </c>
    </row>
    <row r="90" spans="24:24">
      <c r="X90" s="290">
        <v>44994</v>
      </c>
    </row>
    <row r="91" spans="24:24">
      <c r="X91" s="290">
        <v>44995</v>
      </c>
    </row>
    <row r="92" spans="24:24">
      <c r="X92" s="290">
        <v>44996</v>
      </c>
    </row>
    <row r="93" spans="24:24">
      <c r="X93" s="290">
        <v>44997</v>
      </c>
    </row>
    <row r="94" spans="24:24">
      <c r="X94" s="290">
        <v>44998</v>
      </c>
    </row>
    <row r="95" spans="24:24">
      <c r="X95" s="290">
        <v>44999</v>
      </c>
    </row>
    <row r="96" spans="24:24">
      <c r="X96" s="290">
        <v>45000</v>
      </c>
    </row>
    <row r="97" spans="24:24">
      <c r="X97" s="290">
        <v>45001</v>
      </c>
    </row>
    <row r="98" spans="24:24">
      <c r="X98" s="290">
        <v>45002</v>
      </c>
    </row>
    <row r="99" spans="24:24">
      <c r="X99" s="290">
        <v>45003</v>
      </c>
    </row>
    <row r="100" spans="24:24">
      <c r="X100" s="290">
        <v>45004</v>
      </c>
    </row>
    <row r="101" spans="24:24">
      <c r="X101" s="290">
        <v>45005</v>
      </c>
    </row>
    <row r="102" spans="24:24">
      <c r="X102" s="290">
        <v>45006</v>
      </c>
    </row>
    <row r="103" spans="24:24">
      <c r="X103" s="290">
        <v>45007</v>
      </c>
    </row>
    <row r="104" spans="24:24">
      <c r="X104" s="290">
        <v>45008</v>
      </c>
    </row>
    <row r="105" spans="24:24">
      <c r="X105" s="290">
        <v>45009</v>
      </c>
    </row>
    <row r="106" spans="24:24">
      <c r="X106" s="290">
        <v>45010</v>
      </c>
    </row>
    <row r="107" spans="24:24">
      <c r="X107" s="290">
        <v>45011</v>
      </c>
    </row>
    <row r="108" spans="24:24">
      <c r="X108" s="290">
        <v>45012</v>
      </c>
    </row>
    <row r="109" spans="24:24">
      <c r="X109" s="290">
        <v>45013</v>
      </c>
    </row>
    <row r="110" spans="24:24">
      <c r="X110" s="290">
        <v>45014</v>
      </c>
    </row>
    <row r="111" spans="24:24">
      <c r="X111" s="290">
        <v>45015</v>
      </c>
    </row>
    <row r="112" spans="24:24">
      <c r="X112" s="290">
        <v>45016</v>
      </c>
    </row>
    <row r="113" spans="24:24">
      <c r="X113" s="290">
        <v>45017</v>
      </c>
    </row>
    <row r="114" spans="24:24">
      <c r="X114" s="290">
        <v>45018</v>
      </c>
    </row>
    <row r="115" spans="24:24">
      <c r="X115" s="290">
        <v>45019</v>
      </c>
    </row>
    <row r="116" spans="24:24">
      <c r="X116" s="290">
        <v>45020</v>
      </c>
    </row>
    <row r="117" spans="24:24">
      <c r="X117" s="290">
        <v>45021</v>
      </c>
    </row>
    <row r="118" spans="24:24">
      <c r="X118" s="290">
        <v>45022</v>
      </c>
    </row>
    <row r="119" spans="24:24">
      <c r="X119" s="290">
        <v>45023</v>
      </c>
    </row>
    <row r="120" spans="24:24">
      <c r="X120" s="290">
        <v>45024</v>
      </c>
    </row>
    <row r="121" spans="24:24">
      <c r="X121" s="290">
        <v>45025</v>
      </c>
    </row>
    <row r="122" spans="24:24">
      <c r="X122" s="290">
        <v>45026</v>
      </c>
    </row>
    <row r="123" spans="24:24">
      <c r="X123" s="290">
        <v>45027</v>
      </c>
    </row>
    <row r="124" spans="24:24">
      <c r="X124" s="290">
        <v>45028</v>
      </c>
    </row>
    <row r="125" spans="24:24">
      <c r="X125" s="290">
        <v>45029</v>
      </c>
    </row>
    <row r="126" spans="24:24">
      <c r="X126" s="290">
        <v>45030</v>
      </c>
    </row>
    <row r="127" spans="24:24">
      <c r="X127" s="290">
        <v>45031</v>
      </c>
    </row>
    <row r="128" spans="24:24">
      <c r="X128" s="290">
        <v>45032</v>
      </c>
    </row>
    <row r="129" spans="24:24">
      <c r="X129" s="290">
        <v>45033</v>
      </c>
    </row>
    <row r="130" spans="24:24">
      <c r="X130" s="290">
        <v>45034</v>
      </c>
    </row>
    <row r="131" spans="24:24">
      <c r="X131" s="290">
        <v>45035</v>
      </c>
    </row>
    <row r="132" spans="24:24">
      <c r="X132" s="290">
        <v>45036</v>
      </c>
    </row>
    <row r="133" spans="24:24">
      <c r="X133" s="290">
        <v>45037</v>
      </c>
    </row>
    <row r="134" spans="24:24">
      <c r="X134" s="290">
        <v>45038</v>
      </c>
    </row>
    <row r="135" spans="24:24">
      <c r="X135" s="290">
        <v>45039</v>
      </c>
    </row>
    <row r="136" spans="24:24">
      <c r="X136" s="290">
        <v>45040</v>
      </c>
    </row>
    <row r="137" spans="24:24">
      <c r="X137" s="290">
        <v>45041</v>
      </c>
    </row>
    <row r="138" spans="24:24">
      <c r="X138" s="290">
        <v>45042</v>
      </c>
    </row>
    <row r="139" spans="24:24">
      <c r="X139" s="290">
        <v>45043</v>
      </c>
    </row>
    <row r="140" spans="24:24">
      <c r="X140" s="290">
        <v>45044</v>
      </c>
    </row>
    <row r="141" spans="24:24">
      <c r="X141" s="290">
        <v>45045</v>
      </c>
    </row>
    <row r="142" spans="24:24">
      <c r="X142" s="290">
        <v>45046</v>
      </c>
    </row>
    <row r="143" spans="24:24">
      <c r="X143" s="290">
        <v>45047</v>
      </c>
    </row>
    <row r="144" spans="24:24">
      <c r="X144" s="290">
        <v>45048</v>
      </c>
    </row>
    <row r="145" spans="24:24">
      <c r="X145" s="290">
        <v>45049</v>
      </c>
    </row>
    <row r="146" spans="24:24">
      <c r="X146" s="290">
        <v>45050</v>
      </c>
    </row>
    <row r="147" spans="24:24">
      <c r="X147" s="290">
        <v>45051</v>
      </c>
    </row>
    <row r="148" spans="24:24">
      <c r="X148" s="290">
        <v>45052</v>
      </c>
    </row>
    <row r="149" spans="24:24">
      <c r="X149" s="290">
        <v>45053</v>
      </c>
    </row>
    <row r="150" spans="24:24">
      <c r="X150" s="290">
        <v>45054</v>
      </c>
    </row>
    <row r="151" spans="24:24">
      <c r="X151" s="290">
        <v>45055</v>
      </c>
    </row>
    <row r="152" spans="24:24">
      <c r="X152" s="290">
        <v>45056</v>
      </c>
    </row>
    <row r="153" spans="24:24">
      <c r="X153" s="290">
        <v>45057</v>
      </c>
    </row>
    <row r="154" spans="24:24">
      <c r="X154" s="290">
        <v>45058</v>
      </c>
    </row>
    <row r="155" spans="24:24">
      <c r="X155" s="290">
        <v>45059</v>
      </c>
    </row>
    <row r="156" spans="24:24">
      <c r="X156" s="290">
        <v>45060</v>
      </c>
    </row>
    <row r="157" spans="24:24">
      <c r="X157" s="290">
        <v>45061</v>
      </c>
    </row>
    <row r="158" spans="24:24">
      <c r="X158" s="290">
        <v>45062</v>
      </c>
    </row>
    <row r="159" spans="24:24">
      <c r="X159" s="290">
        <v>45063</v>
      </c>
    </row>
    <row r="160" spans="24:24">
      <c r="X160" s="290">
        <v>45064</v>
      </c>
    </row>
    <row r="161" spans="24:24">
      <c r="X161" s="290">
        <v>45065</v>
      </c>
    </row>
    <row r="162" spans="24:24">
      <c r="X162" s="290">
        <v>45066</v>
      </c>
    </row>
    <row r="163" spans="24:24">
      <c r="X163" s="290">
        <v>45067</v>
      </c>
    </row>
    <row r="164" spans="24:24">
      <c r="X164" s="290">
        <v>45068</v>
      </c>
    </row>
    <row r="165" spans="24:24">
      <c r="X165" s="290">
        <v>45069</v>
      </c>
    </row>
    <row r="166" spans="24:24">
      <c r="X166" s="290">
        <v>45070</v>
      </c>
    </row>
    <row r="167" spans="24:24">
      <c r="X167" s="290">
        <v>45071</v>
      </c>
    </row>
    <row r="168" spans="24:24">
      <c r="X168" s="290">
        <v>45072</v>
      </c>
    </row>
    <row r="169" spans="24:24">
      <c r="X169" s="290">
        <v>45073</v>
      </c>
    </row>
    <row r="170" spans="24:24">
      <c r="X170" s="290">
        <v>45074</v>
      </c>
    </row>
    <row r="171" spans="24:24">
      <c r="X171" s="290">
        <v>45075</v>
      </c>
    </row>
    <row r="172" spans="24:24">
      <c r="X172" s="290">
        <v>45076</v>
      </c>
    </row>
    <row r="173" spans="24:24">
      <c r="X173" s="290">
        <v>45077</v>
      </c>
    </row>
    <row r="174" spans="24:24">
      <c r="X174" s="290">
        <v>45078</v>
      </c>
    </row>
    <row r="175" spans="24:24">
      <c r="X175" s="290">
        <v>45079</v>
      </c>
    </row>
    <row r="176" spans="24:24">
      <c r="X176" s="290">
        <v>45080</v>
      </c>
    </row>
    <row r="177" spans="24:24">
      <c r="X177" s="290">
        <v>45081</v>
      </c>
    </row>
    <row r="178" spans="24:24">
      <c r="X178" s="290">
        <v>45082</v>
      </c>
    </row>
    <row r="179" spans="24:24">
      <c r="X179" s="290">
        <v>45083</v>
      </c>
    </row>
    <row r="180" spans="24:24">
      <c r="X180" s="290">
        <v>45084</v>
      </c>
    </row>
    <row r="181" spans="24:24">
      <c r="X181" s="290">
        <v>45085</v>
      </c>
    </row>
    <row r="182" spans="24:24">
      <c r="X182" s="290">
        <v>45086</v>
      </c>
    </row>
    <row r="183" spans="24:24">
      <c r="X183" s="290">
        <v>45087</v>
      </c>
    </row>
    <row r="184" spans="24:24">
      <c r="X184" s="290">
        <v>45088</v>
      </c>
    </row>
    <row r="185" spans="24:24">
      <c r="X185" s="290">
        <v>45089</v>
      </c>
    </row>
    <row r="186" spans="24:24">
      <c r="X186" s="290">
        <v>45090</v>
      </c>
    </row>
    <row r="187" spans="24:24">
      <c r="X187" s="290">
        <v>45091</v>
      </c>
    </row>
    <row r="188" spans="24:24">
      <c r="X188" s="290">
        <v>45092</v>
      </c>
    </row>
    <row r="189" spans="24:24">
      <c r="X189" s="290">
        <v>45093</v>
      </c>
    </row>
    <row r="190" spans="24:24">
      <c r="X190" s="290">
        <v>45094</v>
      </c>
    </row>
    <row r="191" spans="24:24">
      <c r="X191" s="290">
        <v>45095</v>
      </c>
    </row>
    <row r="192" spans="24:24">
      <c r="X192" s="290">
        <v>45096</v>
      </c>
    </row>
    <row r="193" spans="24:24">
      <c r="X193" s="290">
        <v>45097</v>
      </c>
    </row>
    <row r="194" spans="24:24">
      <c r="X194" s="290">
        <v>45098</v>
      </c>
    </row>
    <row r="195" spans="24:24">
      <c r="X195" s="290">
        <v>45099</v>
      </c>
    </row>
    <row r="196" spans="24:24">
      <c r="X196" s="290">
        <v>45100</v>
      </c>
    </row>
    <row r="197" spans="24:24">
      <c r="X197" s="290">
        <v>45101</v>
      </c>
    </row>
    <row r="198" spans="24:24">
      <c r="X198" s="290">
        <v>45102</v>
      </c>
    </row>
    <row r="199" spans="24:24">
      <c r="X199" s="290">
        <v>45103</v>
      </c>
    </row>
    <row r="200" spans="24:24">
      <c r="X200" s="290">
        <v>45104</v>
      </c>
    </row>
    <row r="201" spans="24:24">
      <c r="X201" s="290">
        <v>45105</v>
      </c>
    </row>
    <row r="202" spans="24:24">
      <c r="X202" s="290">
        <v>45106</v>
      </c>
    </row>
    <row r="203" spans="24:24">
      <c r="X203" s="290">
        <v>45107</v>
      </c>
    </row>
    <row r="204" spans="24:24">
      <c r="X204" s="290">
        <v>45108</v>
      </c>
    </row>
    <row r="205" spans="24:24">
      <c r="X205" s="290">
        <v>45109</v>
      </c>
    </row>
    <row r="206" spans="24:24">
      <c r="X206" s="290">
        <v>45110</v>
      </c>
    </row>
    <row r="207" spans="24:24">
      <c r="X207" s="290">
        <v>45111</v>
      </c>
    </row>
    <row r="208" spans="24:24">
      <c r="X208" s="290">
        <v>45112</v>
      </c>
    </row>
    <row r="209" spans="24:24">
      <c r="X209" s="290">
        <v>45113</v>
      </c>
    </row>
    <row r="210" spans="24:24">
      <c r="X210" s="290">
        <v>45114</v>
      </c>
    </row>
    <row r="211" spans="24:24">
      <c r="X211" s="290">
        <v>45115</v>
      </c>
    </row>
    <row r="212" spans="24:24">
      <c r="X212" s="290">
        <v>45116</v>
      </c>
    </row>
    <row r="213" spans="24:24">
      <c r="X213" s="290">
        <v>45117</v>
      </c>
    </row>
    <row r="214" spans="24:24">
      <c r="X214" s="290">
        <v>45118</v>
      </c>
    </row>
    <row r="215" spans="24:24">
      <c r="X215" s="290">
        <v>45119</v>
      </c>
    </row>
    <row r="216" spans="24:24">
      <c r="X216" s="290">
        <v>45120</v>
      </c>
    </row>
    <row r="217" spans="24:24">
      <c r="X217" s="290">
        <v>45121</v>
      </c>
    </row>
    <row r="218" spans="24:24">
      <c r="X218" s="290">
        <v>45122</v>
      </c>
    </row>
    <row r="219" spans="24:24">
      <c r="X219" s="290">
        <v>45123</v>
      </c>
    </row>
    <row r="220" spans="24:24">
      <c r="X220" s="290">
        <v>45124</v>
      </c>
    </row>
    <row r="221" spans="24:24">
      <c r="X221" s="290">
        <v>45125</v>
      </c>
    </row>
    <row r="222" spans="24:24">
      <c r="X222" s="290">
        <v>45126</v>
      </c>
    </row>
    <row r="223" spans="24:24">
      <c r="X223" s="290">
        <v>45127</v>
      </c>
    </row>
    <row r="224" spans="24:24">
      <c r="X224" s="290">
        <v>45128</v>
      </c>
    </row>
    <row r="225" spans="24:24">
      <c r="X225" s="290">
        <v>45129</v>
      </c>
    </row>
    <row r="226" spans="24:24">
      <c r="X226" s="290">
        <v>45130</v>
      </c>
    </row>
    <row r="227" spans="24:24">
      <c r="X227" s="290">
        <v>45131</v>
      </c>
    </row>
    <row r="228" spans="24:24">
      <c r="X228" s="290">
        <v>45132</v>
      </c>
    </row>
    <row r="229" spans="24:24">
      <c r="X229" s="290">
        <v>45133</v>
      </c>
    </row>
    <row r="230" spans="24:24">
      <c r="X230" s="290">
        <v>45134</v>
      </c>
    </row>
    <row r="231" spans="24:24">
      <c r="X231" s="290">
        <v>45135</v>
      </c>
    </row>
    <row r="232" spans="24:24">
      <c r="X232" s="290">
        <v>45136</v>
      </c>
    </row>
    <row r="233" spans="24:24">
      <c r="X233" s="290">
        <v>45137</v>
      </c>
    </row>
    <row r="234" spans="24:24">
      <c r="X234" s="290">
        <v>45138</v>
      </c>
    </row>
    <row r="235" spans="24:24">
      <c r="X235" s="290">
        <v>45139</v>
      </c>
    </row>
    <row r="236" spans="24:24">
      <c r="X236" s="290">
        <v>45140</v>
      </c>
    </row>
    <row r="237" spans="24:24">
      <c r="X237" s="290">
        <v>45141</v>
      </c>
    </row>
    <row r="238" spans="24:24">
      <c r="X238" s="290">
        <v>45142</v>
      </c>
    </row>
    <row r="239" spans="24:24">
      <c r="X239" s="290">
        <v>45143</v>
      </c>
    </row>
    <row r="240" spans="24:24">
      <c r="X240" s="290">
        <v>45144</v>
      </c>
    </row>
    <row r="241" spans="24:24">
      <c r="X241" s="290">
        <v>45145</v>
      </c>
    </row>
    <row r="242" spans="24:24">
      <c r="X242" s="290">
        <v>45146</v>
      </c>
    </row>
    <row r="243" spans="24:24">
      <c r="X243" s="290">
        <v>45147</v>
      </c>
    </row>
    <row r="244" spans="24:24">
      <c r="X244" s="290">
        <v>45148</v>
      </c>
    </row>
    <row r="245" spans="24:24">
      <c r="X245" s="290">
        <v>45149</v>
      </c>
    </row>
    <row r="246" spans="24:24">
      <c r="X246" s="290">
        <v>45150</v>
      </c>
    </row>
    <row r="247" spans="24:24">
      <c r="X247" s="290">
        <v>45151</v>
      </c>
    </row>
    <row r="248" spans="24:24">
      <c r="X248" s="290">
        <v>45152</v>
      </c>
    </row>
    <row r="249" spans="24:24">
      <c r="X249" s="290">
        <v>45153</v>
      </c>
    </row>
    <row r="250" spans="24:24">
      <c r="X250" s="290">
        <v>45154</v>
      </c>
    </row>
    <row r="251" spans="24:24">
      <c r="X251" s="290">
        <v>45155</v>
      </c>
    </row>
    <row r="252" spans="24:24">
      <c r="X252" s="290">
        <v>45156</v>
      </c>
    </row>
    <row r="253" spans="24:24">
      <c r="X253" s="290">
        <v>45157</v>
      </c>
    </row>
    <row r="254" spans="24:24">
      <c r="X254" s="290">
        <v>45158</v>
      </c>
    </row>
    <row r="255" spans="24:24">
      <c r="X255" s="290">
        <v>45159</v>
      </c>
    </row>
    <row r="256" spans="24:24">
      <c r="X256" s="290">
        <v>45160</v>
      </c>
    </row>
    <row r="257" spans="24:24">
      <c r="X257" s="290">
        <v>45161</v>
      </c>
    </row>
    <row r="258" spans="24:24">
      <c r="X258" s="290">
        <v>45162</v>
      </c>
    </row>
    <row r="259" spans="24:24">
      <c r="X259" s="290">
        <v>45163</v>
      </c>
    </row>
    <row r="260" spans="24:24">
      <c r="X260" s="290">
        <v>45164</v>
      </c>
    </row>
    <row r="261" spans="24:24">
      <c r="X261" s="290">
        <v>45165</v>
      </c>
    </row>
    <row r="262" spans="24:24">
      <c r="X262" s="290">
        <v>45166</v>
      </c>
    </row>
    <row r="263" spans="24:24">
      <c r="X263" s="290">
        <v>45167</v>
      </c>
    </row>
    <row r="264" spans="24:24">
      <c r="X264" s="290">
        <v>45168</v>
      </c>
    </row>
    <row r="265" spans="24:24">
      <c r="X265" s="290">
        <v>45169</v>
      </c>
    </row>
    <row r="266" spans="24:24">
      <c r="X266" s="290">
        <v>45170</v>
      </c>
    </row>
    <row r="267" spans="24:24">
      <c r="X267" s="290">
        <v>45171</v>
      </c>
    </row>
    <row r="268" spans="24:24">
      <c r="X268" s="290">
        <v>45172</v>
      </c>
    </row>
    <row r="269" spans="24:24">
      <c r="X269" s="290">
        <v>45173</v>
      </c>
    </row>
    <row r="270" spans="24:24">
      <c r="X270" s="290">
        <v>45174</v>
      </c>
    </row>
    <row r="271" spans="24:24">
      <c r="X271" s="290">
        <v>45175</v>
      </c>
    </row>
    <row r="272" spans="24:24">
      <c r="X272" s="290">
        <v>45176</v>
      </c>
    </row>
    <row r="273" spans="24:24">
      <c r="X273" s="290">
        <v>45177</v>
      </c>
    </row>
    <row r="274" spans="24:24">
      <c r="X274" s="290">
        <v>45178</v>
      </c>
    </row>
    <row r="275" spans="24:24">
      <c r="X275" s="290">
        <v>45179</v>
      </c>
    </row>
    <row r="276" spans="24:24">
      <c r="X276" s="290">
        <v>45180</v>
      </c>
    </row>
    <row r="277" spans="24:24">
      <c r="X277" s="290">
        <v>45181</v>
      </c>
    </row>
    <row r="278" spans="24:24">
      <c r="X278" s="290">
        <v>45182</v>
      </c>
    </row>
    <row r="279" spans="24:24">
      <c r="X279" s="290">
        <v>45183</v>
      </c>
    </row>
    <row r="280" spans="24:24">
      <c r="X280" s="290">
        <v>45184</v>
      </c>
    </row>
    <row r="281" spans="24:24">
      <c r="X281" s="290">
        <v>45185</v>
      </c>
    </row>
    <row r="282" spans="24:24">
      <c r="X282" s="290">
        <v>45186</v>
      </c>
    </row>
    <row r="283" spans="24:24">
      <c r="X283" s="290">
        <v>45187</v>
      </c>
    </row>
    <row r="284" spans="24:24">
      <c r="X284" s="290">
        <v>45188</v>
      </c>
    </row>
    <row r="285" spans="24:24">
      <c r="X285" s="290">
        <v>45189</v>
      </c>
    </row>
    <row r="286" spans="24:24">
      <c r="X286" s="290">
        <v>45190</v>
      </c>
    </row>
    <row r="287" spans="24:24">
      <c r="X287" s="290">
        <v>45191</v>
      </c>
    </row>
    <row r="288" spans="24:24">
      <c r="X288" s="290">
        <v>45192</v>
      </c>
    </row>
    <row r="289" spans="24:24">
      <c r="X289" s="290">
        <v>45193</v>
      </c>
    </row>
    <row r="290" spans="24:24">
      <c r="X290" s="290">
        <v>45194</v>
      </c>
    </row>
    <row r="291" spans="24:24">
      <c r="X291" s="290">
        <v>45195</v>
      </c>
    </row>
    <row r="292" spans="24:24">
      <c r="X292" s="290">
        <v>45196</v>
      </c>
    </row>
    <row r="293" spans="24:24">
      <c r="X293" s="290">
        <v>45197</v>
      </c>
    </row>
    <row r="294" spans="24:24">
      <c r="X294" s="290">
        <v>45198</v>
      </c>
    </row>
    <row r="295" spans="24:24">
      <c r="X295" s="290">
        <v>45199</v>
      </c>
    </row>
    <row r="296" spans="24:24">
      <c r="X296" s="290">
        <v>45200</v>
      </c>
    </row>
    <row r="297" spans="24:24">
      <c r="X297" s="290">
        <v>45201</v>
      </c>
    </row>
    <row r="298" spans="24:24">
      <c r="X298" s="290">
        <v>45202</v>
      </c>
    </row>
    <row r="299" spans="24:24">
      <c r="X299" s="290">
        <v>45203</v>
      </c>
    </row>
    <row r="300" spans="24:24">
      <c r="X300" s="290">
        <v>45204</v>
      </c>
    </row>
    <row r="301" spans="24:24">
      <c r="X301" s="290">
        <v>45205</v>
      </c>
    </row>
    <row r="302" spans="24:24">
      <c r="X302" s="290">
        <v>45206</v>
      </c>
    </row>
    <row r="303" spans="24:24">
      <c r="X303" s="290">
        <v>45207</v>
      </c>
    </row>
    <row r="304" spans="24:24">
      <c r="X304" s="290">
        <v>45208</v>
      </c>
    </row>
    <row r="305" spans="24:24">
      <c r="X305" s="290">
        <v>45209</v>
      </c>
    </row>
    <row r="306" spans="24:24">
      <c r="X306" s="290">
        <v>45210</v>
      </c>
    </row>
    <row r="307" spans="24:24">
      <c r="X307" s="290">
        <v>45211</v>
      </c>
    </row>
    <row r="308" spans="24:24">
      <c r="X308" s="290">
        <v>45212</v>
      </c>
    </row>
    <row r="309" spans="24:24">
      <c r="X309" s="290">
        <v>45213</v>
      </c>
    </row>
    <row r="310" spans="24:24">
      <c r="X310" s="290">
        <v>45214</v>
      </c>
    </row>
    <row r="311" spans="24:24">
      <c r="X311" s="290">
        <v>45215</v>
      </c>
    </row>
    <row r="312" spans="24:24">
      <c r="X312" s="290">
        <v>45216</v>
      </c>
    </row>
    <row r="313" spans="24:24">
      <c r="X313" s="290">
        <v>45217</v>
      </c>
    </row>
    <row r="314" spans="24:24">
      <c r="X314" s="290">
        <v>45218</v>
      </c>
    </row>
    <row r="315" spans="24:24">
      <c r="X315" s="290">
        <v>45219</v>
      </c>
    </row>
    <row r="316" spans="24:24">
      <c r="X316" s="290">
        <v>45220</v>
      </c>
    </row>
    <row r="317" spans="24:24">
      <c r="X317" s="290">
        <v>45221</v>
      </c>
    </row>
    <row r="318" spans="24:24">
      <c r="X318" s="290">
        <v>45222</v>
      </c>
    </row>
    <row r="319" spans="24:24">
      <c r="X319" s="290">
        <v>45223</v>
      </c>
    </row>
    <row r="320" spans="24:24">
      <c r="X320" s="290">
        <v>45224</v>
      </c>
    </row>
    <row r="321" spans="24:24">
      <c r="X321" s="290">
        <v>45225</v>
      </c>
    </row>
    <row r="322" spans="24:24">
      <c r="X322" s="290">
        <v>45226</v>
      </c>
    </row>
    <row r="323" spans="24:24">
      <c r="X323" s="290">
        <v>45227</v>
      </c>
    </row>
    <row r="324" spans="24:24">
      <c r="X324" s="290">
        <v>45228</v>
      </c>
    </row>
    <row r="325" spans="24:24">
      <c r="X325" s="290">
        <v>45229</v>
      </c>
    </row>
    <row r="326" spans="24:24">
      <c r="X326" s="290">
        <v>45230</v>
      </c>
    </row>
    <row r="327" spans="24:24">
      <c r="X327" s="290">
        <v>45231</v>
      </c>
    </row>
    <row r="328" spans="24:24">
      <c r="X328" s="290">
        <v>45232</v>
      </c>
    </row>
    <row r="329" spans="24:24">
      <c r="X329" s="290">
        <v>45233</v>
      </c>
    </row>
    <row r="330" spans="24:24">
      <c r="X330" s="290">
        <v>45234</v>
      </c>
    </row>
    <row r="331" spans="24:24">
      <c r="X331" s="290">
        <v>45235</v>
      </c>
    </row>
    <row r="332" spans="24:24">
      <c r="X332" s="290">
        <v>45236</v>
      </c>
    </row>
    <row r="333" spans="24:24">
      <c r="X333" s="290">
        <v>45237</v>
      </c>
    </row>
    <row r="334" spans="24:24">
      <c r="X334" s="290">
        <v>45238</v>
      </c>
    </row>
    <row r="335" spans="24:24">
      <c r="X335" s="290">
        <v>45239</v>
      </c>
    </row>
    <row r="336" spans="24:24">
      <c r="X336" s="290">
        <v>45240</v>
      </c>
    </row>
    <row r="337" spans="24:24">
      <c r="X337" s="290">
        <v>45241</v>
      </c>
    </row>
    <row r="338" spans="24:24">
      <c r="X338" s="290">
        <v>45242</v>
      </c>
    </row>
    <row r="339" spans="24:24">
      <c r="X339" s="290">
        <v>45243</v>
      </c>
    </row>
    <row r="340" spans="24:24">
      <c r="X340" s="290">
        <v>45244</v>
      </c>
    </row>
    <row r="341" spans="24:24">
      <c r="X341" s="290">
        <v>45245</v>
      </c>
    </row>
    <row r="342" spans="24:24">
      <c r="X342" s="290">
        <v>45246</v>
      </c>
    </row>
    <row r="343" spans="24:24">
      <c r="X343" s="290">
        <v>45247</v>
      </c>
    </row>
    <row r="344" spans="24:24">
      <c r="X344" s="290">
        <v>45248</v>
      </c>
    </row>
    <row r="345" spans="24:24">
      <c r="X345" s="290">
        <v>45249</v>
      </c>
    </row>
    <row r="346" spans="24:24">
      <c r="X346" s="290">
        <v>45250</v>
      </c>
    </row>
    <row r="347" spans="24:24">
      <c r="X347" s="290">
        <v>45251</v>
      </c>
    </row>
    <row r="348" spans="24:24">
      <c r="X348" s="290">
        <v>45252</v>
      </c>
    </row>
    <row r="349" spans="24:24">
      <c r="X349" s="290">
        <v>45253</v>
      </c>
    </row>
    <row r="350" spans="24:24">
      <c r="X350" s="290">
        <v>45254</v>
      </c>
    </row>
    <row r="351" spans="24:24">
      <c r="X351" s="290">
        <v>45255</v>
      </c>
    </row>
    <row r="352" spans="24:24">
      <c r="X352" s="290">
        <v>45256</v>
      </c>
    </row>
    <row r="353" spans="24:24">
      <c r="X353" s="290">
        <v>45257</v>
      </c>
    </row>
    <row r="354" spans="24:24">
      <c r="X354" s="290">
        <v>45258</v>
      </c>
    </row>
    <row r="355" spans="24:24">
      <c r="X355" s="290">
        <v>45259</v>
      </c>
    </row>
    <row r="356" spans="24:24">
      <c r="X356" s="290">
        <v>45260</v>
      </c>
    </row>
    <row r="357" spans="24:24">
      <c r="X357" s="290">
        <v>45261</v>
      </c>
    </row>
    <row r="358" spans="24:24">
      <c r="X358" s="290">
        <v>45262</v>
      </c>
    </row>
    <row r="359" spans="24:24">
      <c r="X359" s="290">
        <v>45263</v>
      </c>
    </row>
    <row r="360" spans="24:24">
      <c r="X360" s="290">
        <v>45264</v>
      </c>
    </row>
    <row r="361" spans="24:24">
      <c r="X361" s="290">
        <v>45265</v>
      </c>
    </row>
    <row r="362" spans="24:24">
      <c r="X362" s="290">
        <v>45266</v>
      </c>
    </row>
    <row r="363" spans="24:24">
      <c r="X363" s="290">
        <v>45267</v>
      </c>
    </row>
    <row r="364" spans="24:24">
      <c r="X364" s="290">
        <v>45268</v>
      </c>
    </row>
    <row r="365" spans="24:24">
      <c r="X365" s="290">
        <v>45269</v>
      </c>
    </row>
    <row r="366" spans="24:24">
      <c r="X366" s="290">
        <v>45270</v>
      </c>
    </row>
    <row r="367" spans="24:24">
      <c r="X367" s="290">
        <v>45271</v>
      </c>
    </row>
    <row r="368" spans="24:24">
      <c r="X368" s="290">
        <v>45272</v>
      </c>
    </row>
    <row r="369" spans="24:24">
      <c r="X369" s="290">
        <v>45273</v>
      </c>
    </row>
    <row r="370" spans="24:24">
      <c r="X370" s="290">
        <v>45274</v>
      </c>
    </row>
    <row r="371" spans="24:24">
      <c r="X371" s="290">
        <v>45275</v>
      </c>
    </row>
    <row r="372" spans="24:24">
      <c r="X372" s="290">
        <v>45276</v>
      </c>
    </row>
    <row r="373" spans="24:24">
      <c r="X373" s="290">
        <v>45277</v>
      </c>
    </row>
    <row r="374" spans="24:24">
      <c r="X374" s="290">
        <v>45278</v>
      </c>
    </row>
    <row r="375" spans="24:24">
      <c r="X375" s="290">
        <v>45279</v>
      </c>
    </row>
    <row r="376" spans="24:24">
      <c r="X376" s="290">
        <v>45280</v>
      </c>
    </row>
    <row r="377" spans="24:24">
      <c r="X377" s="290">
        <v>45281</v>
      </c>
    </row>
    <row r="378" spans="24:24">
      <c r="X378" s="290">
        <v>45282</v>
      </c>
    </row>
    <row r="379" spans="24:24">
      <c r="X379" s="290">
        <v>45283</v>
      </c>
    </row>
    <row r="380" spans="24:24">
      <c r="X380" s="290">
        <v>45284</v>
      </c>
    </row>
    <row r="381" spans="24:24">
      <c r="X381" s="290">
        <v>45285</v>
      </c>
    </row>
    <row r="382" spans="24:24">
      <c r="X382" s="290">
        <v>45286</v>
      </c>
    </row>
    <row r="383" spans="24:24">
      <c r="X383" s="290">
        <v>45287</v>
      </c>
    </row>
    <row r="384" spans="24:24">
      <c r="X384" s="290">
        <v>45288</v>
      </c>
    </row>
    <row r="385" spans="24:24">
      <c r="X385" s="290">
        <v>45289</v>
      </c>
    </row>
    <row r="386" spans="24:24">
      <c r="X386" s="290">
        <v>45290</v>
      </c>
    </row>
    <row r="387" spans="24:24">
      <c r="X387" s="290">
        <v>45291</v>
      </c>
    </row>
    <row r="388" spans="24:24">
      <c r="X388" s="290">
        <v>45292</v>
      </c>
    </row>
    <row r="389" spans="24:24">
      <c r="X389" s="290">
        <v>45293</v>
      </c>
    </row>
    <row r="390" spans="24:24">
      <c r="X390" s="290">
        <v>45294</v>
      </c>
    </row>
    <row r="391" spans="24:24">
      <c r="X391" s="290">
        <v>45295</v>
      </c>
    </row>
    <row r="392" spans="24:24">
      <c r="X392" s="290">
        <v>45296</v>
      </c>
    </row>
    <row r="393" spans="24:24">
      <c r="X393" s="290">
        <v>45297</v>
      </c>
    </row>
    <row r="394" spans="24:24">
      <c r="X394" s="290">
        <v>45298</v>
      </c>
    </row>
    <row r="395" spans="24:24">
      <c r="X395" s="290">
        <v>45299</v>
      </c>
    </row>
    <row r="396" spans="24:24">
      <c r="X396" s="290">
        <v>45300</v>
      </c>
    </row>
    <row r="397" spans="24:24">
      <c r="X397" s="290">
        <v>45301</v>
      </c>
    </row>
    <row r="398" spans="24:24">
      <c r="X398" s="290">
        <v>45302</v>
      </c>
    </row>
    <row r="399" spans="24:24">
      <c r="X399" s="290">
        <v>45303</v>
      </c>
    </row>
    <row r="400" spans="24:24">
      <c r="X400" s="290">
        <v>45304</v>
      </c>
    </row>
    <row r="401" spans="24:24">
      <c r="X401" s="290">
        <v>45305</v>
      </c>
    </row>
    <row r="402" spans="24:24">
      <c r="X402" s="290">
        <v>45306</v>
      </c>
    </row>
    <row r="403" spans="24:24">
      <c r="X403" s="290">
        <v>45307</v>
      </c>
    </row>
    <row r="404" spans="24:24">
      <c r="X404" s="290">
        <v>45308</v>
      </c>
    </row>
    <row r="405" spans="24:24">
      <c r="X405" s="290">
        <v>45309</v>
      </c>
    </row>
    <row r="406" spans="24:24">
      <c r="X406" s="290">
        <v>45310</v>
      </c>
    </row>
    <row r="407" spans="24:24">
      <c r="X407" s="290">
        <v>45311</v>
      </c>
    </row>
    <row r="408" spans="24:24">
      <c r="X408" s="290">
        <v>45312</v>
      </c>
    </row>
    <row r="409" spans="24:24">
      <c r="X409" s="290">
        <v>45313</v>
      </c>
    </row>
    <row r="410" spans="24:24">
      <c r="X410" s="290">
        <v>45314</v>
      </c>
    </row>
    <row r="411" spans="24:24">
      <c r="X411" s="290">
        <v>45315</v>
      </c>
    </row>
    <row r="412" spans="24:24">
      <c r="X412" s="290">
        <v>45316</v>
      </c>
    </row>
    <row r="413" spans="24:24">
      <c r="X413" s="290">
        <v>45317</v>
      </c>
    </row>
    <row r="414" spans="24:24">
      <c r="X414" s="290">
        <v>45318</v>
      </c>
    </row>
    <row r="415" spans="24:24">
      <c r="X415" s="290">
        <v>45319</v>
      </c>
    </row>
    <row r="416" spans="24:24">
      <c r="X416" s="290">
        <v>45320</v>
      </c>
    </row>
    <row r="417" spans="24:24">
      <c r="X417" s="290">
        <v>45321</v>
      </c>
    </row>
    <row r="418" spans="24:24">
      <c r="X418" s="290">
        <v>45322</v>
      </c>
    </row>
    <row r="419" spans="24:24">
      <c r="X419" s="290">
        <v>45323</v>
      </c>
    </row>
    <row r="420" spans="24:24">
      <c r="X420" s="290">
        <v>45324</v>
      </c>
    </row>
    <row r="421" spans="24:24">
      <c r="X421" s="290">
        <v>45325</v>
      </c>
    </row>
    <row r="422" spans="24:24">
      <c r="X422" s="290">
        <v>45326</v>
      </c>
    </row>
    <row r="423" spans="24:24">
      <c r="X423" s="290">
        <v>45327</v>
      </c>
    </row>
    <row r="424" spans="24:24">
      <c r="X424" s="290">
        <v>45328</v>
      </c>
    </row>
    <row r="425" spans="24:24">
      <c r="X425" s="290">
        <v>45329</v>
      </c>
    </row>
    <row r="426" spans="24:24">
      <c r="X426" s="290">
        <v>45330</v>
      </c>
    </row>
    <row r="427" spans="24:24">
      <c r="X427" s="290">
        <v>45331</v>
      </c>
    </row>
    <row r="428" spans="24:24">
      <c r="X428" s="290">
        <v>45332</v>
      </c>
    </row>
    <row r="429" spans="24:24">
      <c r="X429" s="290">
        <v>45333</v>
      </c>
    </row>
    <row r="430" spans="24:24">
      <c r="X430" s="290">
        <v>45334</v>
      </c>
    </row>
    <row r="431" spans="24:24">
      <c r="X431" s="290">
        <v>45335</v>
      </c>
    </row>
    <row r="432" spans="24:24">
      <c r="X432" s="290">
        <v>45336</v>
      </c>
    </row>
    <row r="433" spans="24:24">
      <c r="X433" s="290">
        <v>45337</v>
      </c>
    </row>
    <row r="434" spans="24:24">
      <c r="X434" s="290">
        <v>45338</v>
      </c>
    </row>
    <row r="435" spans="24:24">
      <c r="X435" s="290">
        <v>45339</v>
      </c>
    </row>
    <row r="436" spans="24:24">
      <c r="X436" s="290">
        <v>45340</v>
      </c>
    </row>
    <row r="437" spans="24:24">
      <c r="X437" s="290">
        <v>45341</v>
      </c>
    </row>
    <row r="438" spans="24:24">
      <c r="X438" s="290">
        <v>45342</v>
      </c>
    </row>
    <row r="439" spans="24:24">
      <c r="X439" s="290">
        <v>45343</v>
      </c>
    </row>
    <row r="440" spans="24:24">
      <c r="X440" s="290">
        <v>45344</v>
      </c>
    </row>
    <row r="441" spans="24:24">
      <c r="X441" s="290">
        <v>45345</v>
      </c>
    </row>
    <row r="442" spans="24:24">
      <c r="X442" s="290">
        <v>45346</v>
      </c>
    </row>
    <row r="443" spans="24:24">
      <c r="X443" s="290">
        <v>45347</v>
      </c>
    </row>
    <row r="444" spans="24:24">
      <c r="X444" s="290">
        <v>45348</v>
      </c>
    </row>
    <row r="445" spans="24:24">
      <c r="X445" s="290">
        <v>45349</v>
      </c>
    </row>
    <row r="446" spans="24:24">
      <c r="X446" s="290">
        <v>45350</v>
      </c>
    </row>
    <row r="447" spans="24:24">
      <c r="X447" s="290">
        <v>45351</v>
      </c>
    </row>
    <row r="448" spans="24:24">
      <c r="X448" s="290">
        <v>45352</v>
      </c>
    </row>
    <row r="449" spans="24:24">
      <c r="X449" s="290">
        <v>45353</v>
      </c>
    </row>
    <row r="450" spans="24:24">
      <c r="X450" s="290">
        <v>45354</v>
      </c>
    </row>
    <row r="451" spans="24:24">
      <c r="X451" s="290">
        <v>45355</v>
      </c>
    </row>
    <row r="452" spans="24:24">
      <c r="X452" s="290">
        <v>45356</v>
      </c>
    </row>
    <row r="453" spans="24:24">
      <c r="X453" s="290">
        <v>45357</v>
      </c>
    </row>
    <row r="454" spans="24:24">
      <c r="X454" s="290">
        <v>45358</v>
      </c>
    </row>
    <row r="455" spans="24:24">
      <c r="X455" s="290">
        <v>45359</v>
      </c>
    </row>
    <row r="456" spans="24:24">
      <c r="X456" s="290">
        <v>45360</v>
      </c>
    </row>
    <row r="457" spans="24:24">
      <c r="X457" s="290">
        <v>45361</v>
      </c>
    </row>
    <row r="458" spans="24:24">
      <c r="X458" s="290">
        <v>45362</v>
      </c>
    </row>
    <row r="459" spans="24:24">
      <c r="X459" s="290">
        <v>45363</v>
      </c>
    </row>
    <row r="460" spans="24:24">
      <c r="X460" s="290">
        <v>45364</v>
      </c>
    </row>
    <row r="461" spans="24:24">
      <c r="X461" s="290">
        <v>45365</v>
      </c>
    </row>
    <row r="462" spans="24:24">
      <c r="X462" s="290">
        <v>45366</v>
      </c>
    </row>
    <row r="463" spans="24:24">
      <c r="X463" s="290">
        <v>45367</v>
      </c>
    </row>
    <row r="464" spans="24:24">
      <c r="X464" s="290">
        <v>45368</v>
      </c>
    </row>
    <row r="465" spans="24:24">
      <c r="X465" s="290">
        <v>45369</v>
      </c>
    </row>
    <row r="466" spans="24:24">
      <c r="X466" s="290">
        <v>45370</v>
      </c>
    </row>
    <row r="467" spans="24:24">
      <c r="X467" s="290">
        <v>45371</v>
      </c>
    </row>
    <row r="468" spans="24:24">
      <c r="X468" s="290">
        <v>45372</v>
      </c>
    </row>
    <row r="469" spans="24:24">
      <c r="X469" s="290">
        <v>45373</v>
      </c>
    </row>
    <row r="470" spans="24:24">
      <c r="X470" s="290">
        <v>45374</v>
      </c>
    </row>
    <row r="471" spans="24:24">
      <c r="X471" s="290">
        <v>45375</v>
      </c>
    </row>
    <row r="472" spans="24:24">
      <c r="X472" s="290">
        <v>45376</v>
      </c>
    </row>
    <row r="473" spans="24:24">
      <c r="X473" s="290">
        <v>45377</v>
      </c>
    </row>
    <row r="474" spans="24:24">
      <c r="X474" s="290">
        <v>45378</v>
      </c>
    </row>
    <row r="475" spans="24:24">
      <c r="X475" s="290">
        <v>45379</v>
      </c>
    </row>
    <row r="476" spans="24:24">
      <c r="X476" s="290">
        <v>45380</v>
      </c>
    </row>
    <row r="477" spans="24:24">
      <c r="X477" s="290">
        <v>45381</v>
      </c>
    </row>
    <row r="478" spans="24:24">
      <c r="X478" s="290">
        <v>45382</v>
      </c>
    </row>
    <row r="479" spans="24:24">
      <c r="X479" s="290">
        <v>45383</v>
      </c>
    </row>
    <row r="480" spans="24:24">
      <c r="X480" s="290">
        <v>45384</v>
      </c>
    </row>
    <row r="481" spans="24:24">
      <c r="X481" s="290">
        <v>45385</v>
      </c>
    </row>
    <row r="482" spans="24:24">
      <c r="X482" s="290">
        <v>45386</v>
      </c>
    </row>
    <row r="483" spans="24:24">
      <c r="X483" s="290">
        <v>45387</v>
      </c>
    </row>
    <row r="484" spans="24:24">
      <c r="X484" s="290">
        <v>45388</v>
      </c>
    </row>
    <row r="485" spans="24:24">
      <c r="X485" s="290">
        <v>45389</v>
      </c>
    </row>
    <row r="486" spans="24:24">
      <c r="X486" s="290">
        <v>45390</v>
      </c>
    </row>
    <row r="487" spans="24:24">
      <c r="X487" s="290">
        <v>45391</v>
      </c>
    </row>
    <row r="488" spans="24:24">
      <c r="X488" s="290">
        <v>45392</v>
      </c>
    </row>
    <row r="489" spans="24:24">
      <c r="X489" s="290">
        <v>45393</v>
      </c>
    </row>
    <row r="490" spans="24:24">
      <c r="X490" s="290">
        <v>45394</v>
      </c>
    </row>
    <row r="491" spans="24:24">
      <c r="X491" s="290">
        <v>45395</v>
      </c>
    </row>
    <row r="492" spans="24:24">
      <c r="X492" s="290">
        <v>45396</v>
      </c>
    </row>
    <row r="493" spans="24:24">
      <c r="X493" s="290">
        <v>45397</v>
      </c>
    </row>
    <row r="494" spans="24:24">
      <c r="X494" s="290">
        <v>45398</v>
      </c>
    </row>
    <row r="495" spans="24:24">
      <c r="X495" s="290">
        <v>45399</v>
      </c>
    </row>
    <row r="496" spans="24:24">
      <c r="X496" s="290">
        <v>45400</v>
      </c>
    </row>
    <row r="497" spans="24:24">
      <c r="X497" s="290">
        <v>45401</v>
      </c>
    </row>
    <row r="498" spans="24:24">
      <c r="X498" s="290">
        <v>45402</v>
      </c>
    </row>
    <row r="499" spans="24:24">
      <c r="X499" s="290">
        <v>45403</v>
      </c>
    </row>
    <row r="500" spans="24:24">
      <c r="X500" s="290">
        <v>45404</v>
      </c>
    </row>
    <row r="501" spans="24:24">
      <c r="X501" s="290">
        <v>45405</v>
      </c>
    </row>
    <row r="502" spans="24:24">
      <c r="X502" s="290">
        <v>45406</v>
      </c>
    </row>
    <row r="503" spans="24:24">
      <c r="X503" s="290">
        <v>45407</v>
      </c>
    </row>
    <row r="504" spans="24:24">
      <c r="X504" s="290">
        <v>45408</v>
      </c>
    </row>
    <row r="505" spans="24:24">
      <c r="X505" s="290">
        <v>45409</v>
      </c>
    </row>
    <row r="506" spans="24:24">
      <c r="X506" s="290">
        <v>45410</v>
      </c>
    </row>
    <row r="507" spans="24:24">
      <c r="X507" s="290">
        <v>45411</v>
      </c>
    </row>
    <row r="508" spans="24:24">
      <c r="X508" s="290">
        <v>45412</v>
      </c>
    </row>
    <row r="509" spans="24:24">
      <c r="X509" s="290">
        <v>45413</v>
      </c>
    </row>
    <row r="510" spans="24:24">
      <c r="X510" s="290">
        <v>45414</v>
      </c>
    </row>
    <row r="511" spans="24:24">
      <c r="X511" s="290">
        <v>45415</v>
      </c>
    </row>
    <row r="512" spans="24:24">
      <c r="X512" s="290">
        <v>45416</v>
      </c>
    </row>
    <row r="513" spans="24:24">
      <c r="X513" s="290">
        <v>45417</v>
      </c>
    </row>
    <row r="514" spans="24:24">
      <c r="X514" s="290">
        <v>45418</v>
      </c>
    </row>
    <row r="515" spans="24:24">
      <c r="X515" s="290">
        <v>45419</v>
      </c>
    </row>
    <row r="516" spans="24:24">
      <c r="X516" s="290">
        <v>45420</v>
      </c>
    </row>
    <row r="517" spans="24:24">
      <c r="X517" s="290">
        <v>45421</v>
      </c>
    </row>
    <row r="518" spans="24:24">
      <c r="X518" s="290">
        <v>45422</v>
      </c>
    </row>
    <row r="519" spans="24:24">
      <c r="X519" s="290">
        <v>45423</v>
      </c>
    </row>
    <row r="520" spans="24:24">
      <c r="X520" s="290">
        <v>45424</v>
      </c>
    </row>
    <row r="521" spans="24:24">
      <c r="X521" s="290">
        <v>45425</v>
      </c>
    </row>
    <row r="522" spans="24:24">
      <c r="X522" s="290">
        <v>45426</v>
      </c>
    </row>
    <row r="523" spans="24:24">
      <c r="X523" s="290">
        <v>45427</v>
      </c>
    </row>
    <row r="524" spans="24:24">
      <c r="X524" s="290">
        <v>45428</v>
      </c>
    </row>
    <row r="525" spans="24:24">
      <c r="X525" s="290">
        <v>45429</v>
      </c>
    </row>
    <row r="526" spans="24:24">
      <c r="X526" s="290">
        <v>45430</v>
      </c>
    </row>
    <row r="527" spans="24:24">
      <c r="X527" s="290">
        <v>45431</v>
      </c>
    </row>
    <row r="528" spans="24:24">
      <c r="X528" s="290">
        <v>45432</v>
      </c>
    </row>
    <row r="529" spans="24:24">
      <c r="X529" s="290">
        <v>45433</v>
      </c>
    </row>
    <row r="530" spans="24:24">
      <c r="X530" s="290">
        <v>45434</v>
      </c>
    </row>
    <row r="531" spans="24:24">
      <c r="X531" s="290">
        <v>45435</v>
      </c>
    </row>
    <row r="532" spans="24:24">
      <c r="X532" s="290">
        <v>45436</v>
      </c>
    </row>
    <row r="533" spans="24:24">
      <c r="X533" s="290">
        <v>45437</v>
      </c>
    </row>
    <row r="534" spans="24:24">
      <c r="X534" s="290">
        <v>45438</v>
      </c>
    </row>
    <row r="535" spans="24:24">
      <c r="X535" s="290">
        <v>45439</v>
      </c>
    </row>
    <row r="536" spans="24:24">
      <c r="X536" s="290">
        <v>45440</v>
      </c>
    </row>
    <row r="537" spans="24:24">
      <c r="X537" s="290">
        <v>45441</v>
      </c>
    </row>
    <row r="538" spans="24:24">
      <c r="X538" s="290">
        <v>45442</v>
      </c>
    </row>
    <row r="539" spans="24:24">
      <c r="X539" s="290">
        <v>45443</v>
      </c>
    </row>
    <row r="540" spans="24:24">
      <c r="X540" s="290">
        <v>45444</v>
      </c>
    </row>
    <row r="541" spans="24:24">
      <c r="X541" s="290">
        <v>45445</v>
      </c>
    </row>
    <row r="542" spans="24:24">
      <c r="X542" s="290">
        <v>45446</v>
      </c>
    </row>
    <row r="543" spans="24:24">
      <c r="X543" s="290">
        <v>45447</v>
      </c>
    </row>
    <row r="544" spans="24:24">
      <c r="X544" s="290">
        <v>45448</v>
      </c>
    </row>
    <row r="545" spans="24:24">
      <c r="X545" s="290">
        <v>45449</v>
      </c>
    </row>
    <row r="546" spans="24:24">
      <c r="X546" s="290">
        <v>45450</v>
      </c>
    </row>
    <row r="547" spans="24:24">
      <c r="X547" s="290">
        <v>45451</v>
      </c>
    </row>
    <row r="548" spans="24:24">
      <c r="X548" s="290">
        <v>45452</v>
      </c>
    </row>
    <row r="549" spans="24:24">
      <c r="X549" s="290">
        <v>45453</v>
      </c>
    </row>
    <row r="550" spans="24:24">
      <c r="X550" s="290">
        <v>45454</v>
      </c>
    </row>
    <row r="551" spans="24:24">
      <c r="X551" s="290">
        <v>45455</v>
      </c>
    </row>
    <row r="552" spans="24:24">
      <c r="X552" s="290">
        <v>45456</v>
      </c>
    </row>
    <row r="553" spans="24:24">
      <c r="X553" s="290">
        <v>45457</v>
      </c>
    </row>
    <row r="554" spans="24:24">
      <c r="X554" s="290">
        <v>45458</v>
      </c>
    </row>
    <row r="555" spans="24:24">
      <c r="X555" s="290">
        <v>45459</v>
      </c>
    </row>
    <row r="556" spans="24:24">
      <c r="X556" s="290">
        <v>45460</v>
      </c>
    </row>
    <row r="557" spans="24:24">
      <c r="X557" s="290">
        <v>45461</v>
      </c>
    </row>
    <row r="558" spans="24:24">
      <c r="X558" s="290">
        <v>45462</v>
      </c>
    </row>
    <row r="559" spans="24:24">
      <c r="X559" s="290">
        <v>45463</v>
      </c>
    </row>
    <row r="560" spans="24:24">
      <c r="X560" s="290">
        <v>45464</v>
      </c>
    </row>
    <row r="561" spans="24:24">
      <c r="X561" s="290">
        <v>45465</v>
      </c>
    </row>
    <row r="562" spans="24:24">
      <c r="X562" s="290">
        <v>45466</v>
      </c>
    </row>
    <row r="563" spans="24:24">
      <c r="X563" s="290">
        <v>45467</v>
      </c>
    </row>
    <row r="564" spans="24:24">
      <c r="X564" s="290">
        <v>45468</v>
      </c>
    </row>
    <row r="565" spans="24:24">
      <c r="X565" s="290">
        <v>45469</v>
      </c>
    </row>
    <row r="566" spans="24:24">
      <c r="X566" s="290">
        <v>45470</v>
      </c>
    </row>
    <row r="567" spans="24:24">
      <c r="X567" s="290">
        <v>45471</v>
      </c>
    </row>
    <row r="568" spans="24:24">
      <c r="X568" s="290">
        <v>45472</v>
      </c>
    </row>
    <row r="569" spans="24:24">
      <c r="X569" s="290">
        <v>45473</v>
      </c>
    </row>
    <row r="570" spans="24:24">
      <c r="X570" s="290">
        <v>45474</v>
      </c>
    </row>
    <row r="571" spans="24:24">
      <c r="X571" s="290">
        <v>45475</v>
      </c>
    </row>
    <row r="572" spans="24:24">
      <c r="X572" s="290">
        <v>45476</v>
      </c>
    </row>
    <row r="573" spans="24:24">
      <c r="X573" s="290">
        <v>45477</v>
      </c>
    </row>
    <row r="574" spans="24:24">
      <c r="X574" s="290">
        <v>45478</v>
      </c>
    </row>
    <row r="575" spans="24:24">
      <c r="X575" s="290">
        <v>45479</v>
      </c>
    </row>
    <row r="576" spans="24:24">
      <c r="X576" s="290">
        <v>45480</v>
      </c>
    </row>
    <row r="577" spans="24:24">
      <c r="X577" s="290">
        <v>45481</v>
      </c>
    </row>
    <row r="578" spans="24:24">
      <c r="X578" s="290">
        <v>45482</v>
      </c>
    </row>
    <row r="579" spans="24:24">
      <c r="X579" s="290">
        <v>45483</v>
      </c>
    </row>
    <row r="580" spans="24:24">
      <c r="X580" s="290">
        <v>45484</v>
      </c>
    </row>
    <row r="581" spans="24:24">
      <c r="X581" s="290">
        <v>45485</v>
      </c>
    </row>
    <row r="582" spans="24:24">
      <c r="X582" s="290">
        <v>45486</v>
      </c>
    </row>
    <row r="583" spans="24:24">
      <c r="X583" s="290">
        <v>45487</v>
      </c>
    </row>
    <row r="584" spans="24:24">
      <c r="X584" s="290">
        <v>45488</v>
      </c>
    </row>
    <row r="585" spans="24:24">
      <c r="X585" s="290">
        <v>45489</v>
      </c>
    </row>
    <row r="586" spans="24:24">
      <c r="X586" s="290">
        <v>45490</v>
      </c>
    </row>
    <row r="587" spans="24:24">
      <c r="X587" s="290">
        <v>45491</v>
      </c>
    </row>
    <row r="588" spans="24:24">
      <c r="X588" s="290">
        <v>45492</v>
      </c>
    </row>
    <row r="589" spans="24:24">
      <c r="X589" s="290">
        <v>45493</v>
      </c>
    </row>
    <row r="590" spans="24:24">
      <c r="X590" s="290">
        <v>45494</v>
      </c>
    </row>
    <row r="591" spans="24:24">
      <c r="X591" s="290">
        <v>45495</v>
      </c>
    </row>
    <row r="592" spans="24:24">
      <c r="X592" s="290">
        <v>45496</v>
      </c>
    </row>
    <row r="593" spans="24:24">
      <c r="X593" s="290">
        <v>45497</v>
      </c>
    </row>
    <row r="594" spans="24:24">
      <c r="X594" s="290">
        <v>45498</v>
      </c>
    </row>
    <row r="595" spans="24:24">
      <c r="X595" s="290">
        <v>45499</v>
      </c>
    </row>
    <row r="596" spans="24:24">
      <c r="X596" s="290">
        <v>45500</v>
      </c>
    </row>
    <row r="597" spans="24:24">
      <c r="X597" s="290">
        <v>45501</v>
      </c>
    </row>
    <row r="598" spans="24:24">
      <c r="X598" s="290">
        <v>45502</v>
      </c>
    </row>
    <row r="599" spans="24:24">
      <c r="X599" s="290">
        <v>45503</v>
      </c>
    </row>
    <row r="600" spans="24:24">
      <c r="X600" s="290">
        <v>45504</v>
      </c>
    </row>
    <row r="601" spans="24:24">
      <c r="X601" s="290">
        <v>45505</v>
      </c>
    </row>
    <row r="602" spans="24:24">
      <c r="X602" s="290">
        <v>45506</v>
      </c>
    </row>
    <row r="603" spans="24:24">
      <c r="X603" s="290">
        <v>45507</v>
      </c>
    </row>
    <row r="604" spans="24:24">
      <c r="X604" s="290">
        <v>45508</v>
      </c>
    </row>
    <row r="605" spans="24:24">
      <c r="X605" s="290">
        <v>45509</v>
      </c>
    </row>
    <row r="606" spans="24:24">
      <c r="X606" s="290">
        <v>45510</v>
      </c>
    </row>
    <row r="607" spans="24:24">
      <c r="X607" s="290">
        <v>45511</v>
      </c>
    </row>
    <row r="608" spans="24:24">
      <c r="X608" s="290">
        <v>45512</v>
      </c>
    </row>
    <row r="609" spans="24:24">
      <c r="X609" s="290">
        <v>45513</v>
      </c>
    </row>
    <row r="610" spans="24:24">
      <c r="X610" s="290">
        <v>45514</v>
      </c>
    </row>
    <row r="611" spans="24:24">
      <c r="X611" s="290">
        <v>45515</v>
      </c>
    </row>
    <row r="612" spans="24:24">
      <c r="X612" s="290">
        <v>45516</v>
      </c>
    </row>
    <row r="613" spans="24:24">
      <c r="X613" s="290">
        <v>45517</v>
      </c>
    </row>
    <row r="614" spans="24:24">
      <c r="X614" s="290">
        <v>45518</v>
      </c>
    </row>
    <row r="615" spans="24:24">
      <c r="X615" s="290">
        <v>45519</v>
      </c>
    </row>
    <row r="616" spans="24:24">
      <c r="X616" s="290">
        <v>45520</v>
      </c>
    </row>
    <row r="617" spans="24:24">
      <c r="X617" s="290">
        <v>45521</v>
      </c>
    </row>
    <row r="618" spans="24:24">
      <c r="X618" s="290">
        <v>45522</v>
      </c>
    </row>
    <row r="619" spans="24:24">
      <c r="X619" s="290">
        <v>45523</v>
      </c>
    </row>
    <row r="620" spans="24:24">
      <c r="X620" s="290">
        <v>45524</v>
      </c>
    </row>
    <row r="621" spans="24:24">
      <c r="X621" s="290">
        <v>45525</v>
      </c>
    </row>
    <row r="622" spans="24:24">
      <c r="X622" s="290">
        <v>45526</v>
      </c>
    </row>
    <row r="623" spans="24:24">
      <c r="X623" s="290">
        <v>45527</v>
      </c>
    </row>
    <row r="624" spans="24:24">
      <c r="X624" s="290">
        <v>45528</v>
      </c>
    </row>
    <row r="625" spans="24:24">
      <c r="X625" s="290">
        <v>45529</v>
      </c>
    </row>
    <row r="626" spans="24:24">
      <c r="X626" s="290">
        <v>45530</v>
      </c>
    </row>
    <row r="627" spans="24:24">
      <c r="X627" s="290">
        <v>45531</v>
      </c>
    </row>
    <row r="628" spans="24:24">
      <c r="X628" s="290">
        <v>45532</v>
      </c>
    </row>
    <row r="629" spans="24:24">
      <c r="X629" s="290">
        <v>45533</v>
      </c>
    </row>
    <row r="630" spans="24:24">
      <c r="X630" s="290">
        <v>45534</v>
      </c>
    </row>
    <row r="631" spans="24:24">
      <c r="X631" s="290">
        <v>45535</v>
      </c>
    </row>
    <row r="632" spans="24:24">
      <c r="X632" s="290">
        <v>45536</v>
      </c>
    </row>
    <row r="633" spans="24:24">
      <c r="X633" s="290">
        <v>45537</v>
      </c>
    </row>
    <row r="634" spans="24:24">
      <c r="X634" s="290">
        <v>45538</v>
      </c>
    </row>
    <row r="635" spans="24:24">
      <c r="X635" s="290">
        <v>45539</v>
      </c>
    </row>
    <row r="636" spans="24:24">
      <c r="X636" s="290">
        <v>45540</v>
      </c>
    </row>
    <row r="637" spans="24:24">
      <c r="X637" s="290">
        <v>45541</v>
      </c>
    </row>
    <row r="638" spans="24:24">
      <c r="X638" s="290">
        <v>45542</v>
      </c>
    </row>
    <row r="639" spans="24:24">
      <c r="X639" s="290">
        <v>45543</v>
      </c>
    </row>
    <row r="640" spans="24:24">
      <c r="X640" s="290">
        <v>45544</v>
      </c>
    </row>
    <row r="641" spans="24:24">
      <c r="X641" s="290">
        <v>45545</v>
      </c>
    </row>
    <row r="642" spans="24:24">
      <c r="X642" s="290">
        <v>45546</v>
      </c>
    </row>
    <row r="643" spans="24:24">
      <c r="X643" s="290">
        <v>45547</v>
      </c>
    </row>
    <row r="644" spans="24:24">
      <c r="X644" s="290">
        <v>45548</v>
      </c>
    </row>
    <row r="645" spans="24:24">
      <c r="X645" s="290">
        <v>45549</v>
      </c>
    </row>
    <row r="646" spans="24:24">
      <c r="X646" s="290">
        <v>45550</v>
      </c>
    </row>
    <row r="647" spans="24:24">
      <c r="X647" s="290">
        <v>45551</v>
      </c>
    </row>
    <row r="648" spans="24:24">
      <c r="X648" s="290">
        <v>45552</v>
      </c>
    </row>
    <row r="649" spans="24:24">
      <c r="X649" s="290">
        <v>45553</v>
      </c>
    </row>
    <row r="650" spans="24:24">
      <c r="X650" s="290">
        <v>45554</v>
      </c>
    </row>
    <row r="651" spans="24:24">
      <c r="X651" s="290">
        <v>45555</v>
      </c>
    </row>
    <row r="652" spans="24:24">
      <c r="X652" s="290">
        <v>45556</v>
      </c>
    </row>
    <row r="653" spans="24:24">
      <c r="X653" s="290">
        <v>45557</v>
      </c>
    </row>
    <row r="654" spans="24:24">
      <c r="X654" s="290">
        <v>45558</v>
      </c>
    </row>
    <row r="655" spans="24:24">
      <c r="X655" s="290">
        <v>45559</v>
      </c>
    </row>
    <row r="656" spans="24:24">
      <c r="X656" s="290">
        <v>45560</v>
      </c>
    </row>
    <row r="657" spans="24:24">
      <c r="X657" s="290">
        <v>45561</v>
      </c>
    </row>
    <row r="658" spans="24:24">
      <c r="X658" s="290">
        <v>45562</v>
      </c>
    </row>
    <row r="659" spans="24:24">
      <c r="X659" s="290">
        <v>45563</v>
      </c>
    </row>
    <row r="660" spans="24:24">
      <c r="X660" s="290">
        <v>45564</v>
      </c>
    </row>
    <row r="661" spans="24:24">
      <c r="X661" s="290">
        <v>45565</v>
      </c>
    </row>
    <row r="662" spans="24:24">
      <c r="X662" s="290">
        <v>45566</v>
      </c>
    </row>
    <row r="663" spans="24:24">
      <c r="X663" s="290">
        <v>45567</v>
      </c>
    </row>
    <row r="664" spans="24:24">
      <c r="X664" s="290">
        <v>45568</v>
      </c>
    </row>
    <row r="665" spans="24:24">
      <c r="X665" s="290">
        <v>45569</v>
      </c>
    </row>
    <row r="666" spans="24:24">
      <c r="X666" s="290">
        <v>45570</v>
      </c>
    </row>
    <row r="667" spans="24:24">
      <c r="X667" s="290">
        <v>45571</v>
      </c>
    </row>
    <row r="668" spans="24:24">
      <c r="X668" s="290">
        <v>45572</v>
      </c>
    </row>
    <row r="669" spans="24:24">
      <c r="X669" s="290">
        <v>45573</v>
      </c>
    </row>
    <row r="670" spans="24:24">
      <c r="X670" s="290">
        <v>45574</v>
      </c>
    </row>
    <row r="671" spans="24:24">
      <c r="X671" s="290">
        <v>45575</v>
      </c>
    </row>
    <row r="672" spans="24:24">
      <c r="X672" s="290">
        <v>45576</v>
      </c>
    </row>
    <row r="673" spans="24:24">
      <c r="X673" s="290">
        <v>45577</v>
      </c>
    </row>
    <row r="674" spans="24:24">
      <c r="X674" s="290">
        <v>45578</v>
      </c>
    </row>
    <row r="675" spans="24:24">
      <c r="X675" s="290">
        <v>45579</v>
      </c>
    </row>
    <row r="676" spans="24:24">
      <c r="X676" s="290">
        <v>45580</v>
      </c>
    </row>
    <row r="677" spans="24:24">
      <c r="X677" s="290">
        <v>45581</v>
      </c>
    </row>
    <row r="678" spans="24:24">
      <c r="X678" s="290">
        <v>45582</v>
      </c>
    </row>
    <row r="679" spans="24:24">
      <c r="X679" s="290">
        <v>45583</v>
      </c>
    </row>
    <row r="680" spans="24:24">
      <c r="X680" s="290">
        <v>45584</v>
      </c>
    </row>
    <row r="681" spans="24:24">
      <c r="X681" s="290">
        <v>45585</v>
      </c>
    </row>
    <row r="682" spans="24:24">
      <c r="X682" s="290">
        <v>45586</v>
      </c>
    </row>
    <row r="683" spans="24:24">
      <c r="X683" s="290">
        <v>45587</v>
      </c>
    </row>
    <row r="684" spans="24:24">
      <c r="X684" s="290">
        <v>45588</v>
      </c>
    </row>
    <row r="685" spans="24:24">
      <c r="X685" s="290">
        <v>45589</v>
      </c>
    </row>
    <row r="686" spans="24:24">
      <c r="X686" s="290">
        <v>45590</v>
      </c>
    </row>
    <row r="687" spans="24:24">
      <c r="X687" s="290">
        <v>45591</v>
      </c>
    </row>
    <row r="688" spans="24:24">
      <c r="X688" s="290">
        <v>45592</v>
      </c>
    </row>
    <row r="689" spans="24:24">
      <c r="X689" s="290">
        <v>45593</v>
      </c>
    </row>
    <row r="690" spans="24:24">
      <c r="X690" s="290">
        <v>45594</v>
      </c>
    </row>
    <row r="691" spans="24:24">
      <c r="X691" s="290">
        <v>45595</v>
      </c>
    </row>
    <row r="692" spans="24:24">
      <c r="X692" s="290">
        <v>45596</v>
      </c>
    </row>
    <row r="693" spans="24:24">
      <c r="X693" s="290">
        <v>45597</v>
      </c>
    </row>
    <row r="694" spans="24:24">
      <c r="X694" s="290">
        <v>45598</v>
      </c>
    </row>
    <row r="695" spans="24:24">
      <c r="X695" s="290">
        <v>45599</v>
      </c>
    </row>
    <row r="696" spans="24:24">
      <c r="X696" s="290">
        <v>45600</v>
      </c>
    </row>
    <row r="697" spans="24:24">
      <c r="X697" s="290">
        <v>45601</v>
      </c>
    </row>
    <row r="698" spans="24:24">
      <c r="X698" s="290">
        <v>45602</v>
      </c>
    </row>
    <row r="699" spans="24:24">
      <c r="X699" s="290">
        <v>45603</v>
      </c>
    </row>
    <row r="700" spans="24:24">
      <c r="X700" s="290">
        <v>45604</v>
      </c>
    </row>
    <row r="701" spans="24:24">
      <c r="X701" s="290">
        <v>45605</v>
      </c>
    </row>
    <row r="702" spans="24:24">
      <c r="X702" s="290">
        <v>45606</v>
      </c>
    </row>
    <row r="703" spans="24:24">
      <c r="X703" s="290">
        <v>45607</v>
      </c>
    </row>
    <row r="704" spans="24:24">
      <c r="X704" s="290">
        <v>45608</v>
      </c>
    </row>
    <row r="705" spans="24:24">
      <c r="X705" s="290">
        <v>45609</v>
      </c>
    </row>
    <row r="706" spans="24:24">
      <c r="X706" s="290">
        <v>45610</v>
      </c>
    </row>
    <row r="707" spans="24:24">
      <c r="X707" s="290">
        <v>45611</v>
      </c>
    </row>
    <row r="708" spans="24:24">
      <c r="X708" s="290">
        <v>45612</v>
      </c>
    </row>
    <row r="709" spans="24:24">
      <c r="X709" s="290">
        <v>45613</v>
      </c>
    </row>
    <row r="710" spans="24:24">
      <c r="X710" s="290">
        <v>45614</v>
      </c>
    </row>
    <row r="711" spans="24:24">
      <c r="X711" s="290">
        <v>45615</v>
      </c>
    </row>
    <row r="712" spans="24:24">
      <c r="X712" s="290">
        <v>45616</v>
      </c>
    </row>
    <row r="713" spans="24:24">
      <c r="X713" s="290">
        <v>45617</v>
      </c>
    </row>
    <row r="714" spans="24:24">
      <c r="X714" s="290">
        <v>45618</v>
      </c>
    </row>
    <row r="715" spans="24:24">
      <c r="X715" s="290">
        <v>45619</v>
      </c>
    </row>
    <row r="716" spans="24:24">
      <c r="X716" s="290">
        <v>45620</v>
      </c>
    </row>
    <row r="717" spans="24:24">
      <c r="X717" s="290">
        <v>45621</v>
      </c>
    </row>
    <row r="718" spans="24:24">
      <c r="X718" s="290">
        <v>45622</v>
      </c>
    </row>
    <row r="719" spans="24:24">
      <c r="X719" s="290">
        <v>45623</v>
      </c>
    </row>
    <row r="720" spans="24:24">
      <c r="X720" s="290">
        <v>45624</v>
      </c>
    </row>
    <row r="721" spans="24:24">
      <c r="X721" s="290">
        <v>45625</v>
      </c>
    </row>
    <row r="722" spans="24:24">
      <c r="X722" s="290">
        <v>45626</v>
      </c>
    </row>
    <row r="723" spans="24:24">
      <c r="X723" s="290">
        <v>45627</v>
      </c>
    </row>
    <row r="724" spans="24:24">
      <c r="X724" s="290">
        <v>45628</v>
      </c>
    </row>
    <row r="725" spans="24:24">
      <c r="X725" s="290">
        <v>45629</v>
      </c>
    </row>
    <row r="726" spans="24:24">
      <c r="X726" s="290">
        <v>45630</v>
      </c>
    </row>
    <row r="727" spans="24:24">
      <c r="X727" s="290">
        <v>45631</v>
      </c>
    </row>
    <row r="728" spans="24:24">
      <c r="X728" s="290">
        <v>45632</v>
      </c>
    </row>
    <row r="729" spans="24:24">
      <c r="X729" s="290">
        <v>45633</v>
      </c>
    </row>
    <row r="730" spans="24:24">
      <c r="X730" s="290">
        <v>45634</v>
      </c>
    </row>
    <row r="731" spans="24:24">
      <c r="X731" s="290">
        <v>45635</v>
      </c>
    </row>
    <row r="732" spans="24:24">
      <c r="X732" s="290">
        <v>45636</v>
      </c>
    </row>
    <row r="733" spans="24:24">
      <c r="X733" s="290">
        <v>45637</v>
      </c>
    </row>
    <row r="734" spans="24:24">
      <c r="X734" s="290">
        <v>45638</v>
      </c>
    </row>
    <row r="735" spans="24:24">
      <c r="X735" s="290">
        <v>45639</v>
      </c>
    </row>
    <row r="736" spans="24:24">
      <c r="X736" s="290">
        <v>45640</v>
      </c>
    </row>
    <row r="737" spans="24:24">
      <c r="X737" s="290">
        <v>45641</v>
      </c>
    </row>
    <row r="738" spans="24:24">
      <c r="X738" s="290">
        <v>45642</v>
      </c>
    </row>
    <row r="739" spans="24:24">
      <c r="X739" s="290">
        <v>45643</v>
      </c>
    </row>
    <row r="740" spans="24:24">
      <c r="X740" s="290">
        <v>45644</v>
      </c>
    </row>
    <row r="741" spans="24:24">
      <c r="X741" s="290">
        <v>45645</v>
      </c>
    </row>
    <row r="742" spans="24:24">
      <c r="X742" s="290">
        <v>45646</v>
      </c>
    </row>
    <row r="743" spans="24:24">
      <c r="X743" s="290">
        <v>45647</v>
      </c>
    </row>
    <row r="744" spans="24:24">
      <c r="X744" s="290">
        <v>45648</v>
      </c>
    </row>
    <row r="745" spans="24:24">
      <c r="X745" s="290">
        <v>45649</v>
      </c>
    </row>
    <row r="746" spans="24:24">
      <c r="X746" s="290">
        <v>45650</v>
      </c>
    </row>
    <row r="747" spans="24:24">
      <c r="X747" s="290">
        <v>45651</v>
      </c>
    </row>
    <row r="748" spans="24:24">
      <c r="X748" s="290">
        <v>45652</v>
      </c>
    </row>
    <row r="749" spans="24:24">
      <c r="X749" s="290">
        <v>45653</v>
      </c>
    </row>
    <row r="750" spans="24:24">
      <c r="X750" s="290">
        <v>45654</v>
      </c>
    </row>
    <row r="751" spans="24:24">
      <c r="X751" s="290">
        <v>45655</v>
      </c>
    </row>
    <row r="752" spans="24:24">
      <c r="X752" s="290">
        <v>45656</v>
      </c>
    </row>
  </sheetData>
  <sheetProtection algorithmName="SHA-512" hashValue="Bu7YPrzsc1KVJh++Fu8tVkprR/C+HmrECmYYdGmA1nRhvCqLQ+KaRPJju0FcE1n8YxeRPN5Ps8RqecvsQ2Xuhg==" saltValue="MjWnCo7zR444uq9ZREy9Fw==" spinCount="100000" sheet="1" objects="1" scenarios="1"/>
  <mergeCells count="27">
    <mergeCell ref="F28:I28"/>
    <mergeCell ref="F26:I26"/>
    <mergeCell ref="F27:I27"/>
    <mergeCell ref="F30:I30"/>
    <mergeCell ref="P11:T11"/>
    <mergeCell ref="P9:T10"/>
    <mergeCell ref="P12:T13"/>
    <mergeCell ref="P14:T14"/>
    <mergeCell ref="L29:M30"/>
    <mergeCell ref="P15:T15"/>
    <mergeCell ref="P16:T16"/>
    <mergeCell ref="B1:N3"/>
    <mergeCell ref="B24:B33"/>
    <mergeCell ref="F32:N33"/>
    <mergeCell ref="B8:B16"/>
    <mergeCell ref="F9:H9"/>
    <mergeCell ref="F10:H10"/>
    <mergeCell ref="F13:H13"/>
    <mergeCell ref="F14:H14"/>
    <mergeCell ref="L13:M13"/>
    <mergeCell ref="F24:I24"/>
    <mergeCell ref="F25:I25"/>
    <mergeCell ref="L14:N14"/>
    <mergeCell ref="F15:H15"/>
    <mergeCell ref="F12:J12"/>
    <mergeCell ref="B4:N5"/>
    <mergeCell ref="F29:I29"/>
  </mergeCells>
  <phoneticPr fontId="77" type="noConversion"/>
  <conditionalFormatting sqref="D59:U60">
    <cfRule type="cellIs" dxfId="44" priority="15" operator="equal">
      <formula>99999</formula>
    </cfRule>
  </conditionalFormatting>
  <conditionalFormatting sqref="F14 I14:J14">
    <cfRule type="expression" dxfId="43" priority="118">
      <formula>AND($J$10="EUR",$I$10-$I$13*$L$14&lt;0,$F$14="Money lost in case purchasing ADFT (~):")</formula>
    </cfRule>
    <cfRule type="expression" dxfId="42" priority="119">
      <formula>AND($J$10="USD",$I$10-$I$13&lt;0,$F$14="Money lost in case purchasing ADFT (~):")</formula>
    </cfRule>
    <cfRule type="expression" dxfId="41" priority="120">
      <formula>IF($D$13-($D$15+$D$14)&gt;0,  AND($J$10="USD",$I$10-$I$13&gt;0, $F$14="Money saved in case purchasing ADFT (~):"))</formula>
    </cfRule>
    <cfRule type="expression" dxfId="40" priority="121">
      <formula>$I$14=0</formula>
    </cfRule>
  </conditionalFormatting>
  <conditionalFormatting sqref="F15 I15:J15">
    <cfRule type="expression" dxfId="39" priority="122" stopIfTrue="1">
      <formula>OR($F$15="",$I$14="not valid")</formula>
    </cfRule>
    <cfRule type="expression" dxfId="38" priority="123">
      <formula>$I$10-$I$14&gt;0</formula>
    </cfRule>
    <cfRule type="expression" dxfId="37" priority="124">
      <formula>$I$10-$I$14&lt;0</formula>
    </cfRule>
    <cfRule type="expression" dxfId="36" priority="125">
      <formula>IF($D$13-($D$15+$D$14)&gt;0,  AND($J$10="EUR",$I$10-$I$13*$L$14&gt;0, $F$14="Money saved in case purchasing ADFT (~):"))</formula>
    </cfRule>
    <cfRule type="expression" dxfId="35" priority="126">
      <formula>$I$15=0</formula>
    </cfRule>
  </conditionalFormatting>
  <conditionalFormatting sqref="F32">
    <cfRule type="expression" dxfId="34" priority="17">
      <formula>$F$32=FALSE</formula>
    </cfRule>
  </conditionalFormatting>
  <conditionalFormatting sqref="F15:J15">
    <cfRule type="expression" dxfId="33" priority="5">
      <formula>$I$14&gt;MIN($I$9:$I$10)</formula>
    </cfRule>
  </conditionalFormatting>
  <conditionalFormatting sqref="F25:K25">
    <cfRule type="expression" dxfId="32" priority="3">
      <formula>$J$25=0</formula>
    </cfRule>
  </conditionalFormatting>
  <conditionalFormatting sqref="F26:K26">
    <cfRule type="expression" dxfId="31" priority="2">
      <formula>$J$26=0</formula>
    </cfRule>
  </conditionalFormatting>
  <conditionalFormatting sqref="F27:K27">
    <cfRule type="expression" dxfId="30" priority="4">
      <formula>$J$27=0</formula>
    </cfRule>
  </conditionalFormatting>
  <conditionalFormatting sqref="G37:G39">
    <cfRule type="expression" dxfId="29" priority="19">
      <formula>G37&gt;99999</formula>
    </cfRule>
  </conditionalFormatting>
  <conditionalFormatting sqref="L29:M30">
    <cfRule type="expression" dxfId="28" priority="1">
      <formula>LEFT(D24,5)&lt;&gt;"MACAS"</formula>
    </cfRule>
  </conditionalFormatting>
  <dataValidations count="6">
    <dataValidation type="list" allowBlank="1" showInputMessage="1" showErrorMessage="1" sqref="D28:D29 D11:D12" xr:uid="{CBAE514C-66D0-4118-867C-616761926E2A}">
      <formula1>$X$22:$X$752</formula1>
    </dataValidation>
    <dataValidation type="list" allowBlank="1" showInputMessage="1" showErrorMessage="1" sqref="D24" xr:uid="{A82DB732-CA40-4234-BC00-BE082DBAA35F}">
      <formula1>$Y$22:$Y$26</formula1>
    </dataValidation>
    <dataValidation type="list" allowBlank="1" showInputMessage="1" showErrorMessage="1" sqref="D25" xr:uid="{BD3F38C5-4DA4-468C-928B-F5C966E0AFAA}">
      <formula1>$Z$22:$Z$27</formula1>
    </dataValidation>
    <dataValidation type="list" allowBlank="1" showInputMessage="1" showErrorMessage="1" sqref="D26" xr:uid="{10841073-6AD0-4A0E-A0B4-925209D13914}">
      <formula1>$AA$22:$AA$24</formula1>
    </dataValidation>
    <dataValidation type="list" showErrorMessage="1" errorTitle="Error" error="Please enter a valid number._x000a__x000a_If you don't have an agreed Freetime with HL, keep here as 0." sqref="D15" xr:uid="{CB36DB4E-2219-4161-A270-6C4C0D34D387}">
      <formula1>$AB$22:$AB$42</formula1>
    </dataValidation>
    <dataValidation type="list" allowBlank="1" showInputMessage="1" showErrorMessage="1" sqref="D10" xr:uid="{0AD85C6B-DDD1-47C3-AC85-4EA98FF0CC2B}">
      <formula1>$Z$10:$Z$16</formula1>
    </dataValidation>
  </dataValidations>
  <hyperlinks>
    <hyperlink ref="P15:T15" r:id="rId1" display=" https://www.hapag-lloyd.com/en/online-business/book/additional-freetime.html" xr:uid="{375A9011-FD6B-41F0-A072-5815F0ABC993}"/>
    <hyperlink ref="P11" r:id="rId2" location="anchor_otea782d" xr:uid="{DCD25590-233F-450A-A7FF-66BF4062C4DD}"/>
    <hyperlink ref="P11:T11" r:id="rId3" location="anchor_otea782d" display="https://www.hapag-lloyd.com/en/online-business/quotation/detention-demurrage.html#anchor_otea782d" xr:uid="{9BCCA393-25EA-4038-B099-95DE3D66047A}"/>
  </hyperlinks>
  <pageMargins left="0.7" right="0.7" top="0.75" bottom="0.75" header="0.3" footer="0.3"/>
  <pageSetup orientation="portrait" r:id="rId4"/>
  <drawing r:id="rId5"/>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579C4-F6CE-4E9C-933F-B4F31FAD535A}">
  <sheetPr codeName="Sheet4"/>
  <dimension ref="A1:S36"/>
  <sheetViews>
    <sheetView zoomScale="85" zoomScaleNormal="85" workbookViewId="0">
      <selection activeCell="B10" sqref="B10"/>
    </sheetView>
  </sheetViews>
  <sheetFormatPr defaultColWidth="9.140625" defaultRowHeight="14.25"/>
  <cols>
    <col min="1" max="1" width="18.5703125" style="13" customWidth="1"/>
    <col min="2" max="2" width="60" style="23" customWidth="1"/>
    <col min="3" max="3" width="13.7109375" style="13" customWidth="1"/>
    <col min="4" max="4" width="18" style="13" bestFit="1" customWidth="1"/>
    <col min="5" max="6" width="19.42578125" style="13" bestFit="1" customWidth="1"/>
    <col min="7" max="9" width="9.140625" style="24"/>
    <col min="10" max="10" width="9.140625" style="13"/>
    <col min="11" max="11" width="9.42578125" style="13" bestFit="1" customWidth="1"/>
    <col min="12" max="16384" width="9.140625" style="13"/>
  </cols>
  <sheetData>
    <row r="1" spans="1:19">
      <c r="A1" s="519" t="s">
        <v>67</v>
      </c>
      <c r="B1" s="519"/>
      <c r="C1" s="10" t="s">
        <v>68</v>
      </c>
      <c r="D1" s="11">
        <v>44688</v>
      </c>
      <c r="E1" s="12"/>
      <c r="F1" s="12"/>
    </row>
    <row r="2" spans="1:19" ht="15">
      <c r="A2" s="14" t="s">
        <v>69</v>
      </c>
      <c r="B2" s="15" t="s">
        <v>70</v>
      </c>
      <c r="C2" s="16" t="s">
        <v>71</v>
      </c>
      <c r="D2" s="16" t="s">
        <v>72</v>
      </c>
      <c r="E2" s="16" t="s">
        <v>73</v>
      </c>
      <c r="F2" s="16" t="s">
        <v>74</v>
      </c>
      <c r="G2" s="25" t="s">
        <v>75</v>
      </c>
      <c r="H2" s="25" t="s">
        <v>76</v>
      </c>
      <c r="I2" s="25" t="s">
        <v>77</v>
      </c>
      <c r="S2" s="27"/>
    </row>
    <row r="3" spans="1:19" ht="28.5">
      <c r="A3" s="17" t="s">
        <v>78</v>
      </c>
      <c r="B3" s="18" t="s">
        <v>125</v>
      </c>
      <c r="C3" s="19">
        <v>44314</v>
      </c>
      <c r="D3" s="20" t="s">
        <v>79</v>
      </c>
      <c r="E3" s="20" t="s">
        <v>80</v>
      </c>
      <c r="F3" s="20" t="s">
        <v>81</v>
      </c>
      <c r="G3" s="26" t="str">
        <f>RIGHT(LEFT(Table2[[#This Row],[20''GP]],6),2)</f>
        <v>25</v>
      </c>
      <c r="H3" s="26" t="str">
        <f>RIGHT(LEFT(Table2[[#This Row],[40''GP/HC]],6),2)</f>
        <v>50</v>
      </c>
      <c r="I3" s="26" t="b">
        <f>ISNUMBER(SEARCH(
IF(LEN(TRIM('DD Calculator Europe'!$C$9))-LEN(SUBSTITUTE('DD Calculator Europe'!$C$9," ",""))+1&gt;1,
LEFT('DD Calculator Europe'!$C$9,FIND(" ",'DD Calculator Europe'!$C$9)-1),
'DD Calculator Europe'!$C$9), " "&amp;B3&amp;" "))</f>
        <v>0</v>
      </c>
    </row>
    <row r="4" spans="1:19">
      <c r="A4" s="21" t="s">
        <v>78</v>
      </c>
      <c r="B4" s="18" t="s">
        <v>82</v>
      </c>
      <c r="C4" s="19">
        <v>44314</v>
      </c>
      <c r="D4" s="20" t="s">
        <v>79</v>
      </c>
      <c r="E4" s="20" t="s">
        <v>80</v>
      </c>
      <c r="F4" s="20" t="s">
        <v>80</v>
      </c>
      <c r="G4" s="26" t="str">
        <f>RIGHT(LEFT(Table2[[#This Row],[20''GP]],6),2)</f>
        <v>25</v>
      </c>
      <c r="H4" s="26" t="str">
        <f>RIGHT(LEFT(Table2[[#This Row],[40''GP/HC]],6),2)</f>
        <v>25</v>
      </c>
      <c r="I4" s="26" t="b">
        <f>ISNUMBER(SEARCH(
IF(LEN(TRIM('DD Calculator Europe'!$C$9))-LEN(SUBSTITUTE('DD Calculator Europe'!$C$9," ",""))+1&gt;1,
LEFT('DD Calculator Europe'!$C$9,FIND(" ",'DD Calculator Europe'!$C$9)-1),
'DD Calculator Europe'!$C$9), " "&amp;B4&amp;" "))</f>
        <v>0</v>
      </c>
    </row>
    <row r="5" spans="1:19">
      <c r="A5" s="21" t="s">
        <v>78</v>
      </c>
      <c r="B5" s="18" t="s">
        <v>83</v>
      </c>
      <c r="C5" s="19">
        <v>44455</v>
      </c>
      <c r="D5" s="20" t="s">
        <v>79</v>
      </c>
      <c r="E5" s="20" t="s">
        <v>84</v>
      </c>
      <c r="F5" s="20" t="s">
        <v>85</v>
      </c>
      <c r="G5" s="26" t="str">
        <f>RIGHT(LEFT(Table2[[#This Row],[20''GP]],6),2)</f>
        <v>35</v>
      </c>
      <c r="H5" s="26" t="str">
        <f>RIGHT(LEFT(Table2[[#This Row],[40''GP/HC]],6),2)</f>
        <v>70</v>
      </c>
      <c r="I5" s="26" t="b">
        <f>ISNUMBER(SEARCH(
IF(LEN(TRIM('DD Calculator Europe'!$C$9))-LEN(SUBSTITUTE('DD Calculator Europe'!$C$9," ",""))+1&gt;1,
LEFT('DD Calculator Europe'!$C$9,FIND(" ",'DD Calculator Europe'!$C$9)-1),
'DD Calculator Europe'!$C$9), " "&amp;B5&amp;" "))</f>
        <v>0</v>
      </c>
    </row>
    <row r="6" spans="1:19">
      <c r="A6" s="21" t="s">
        <v>78</v>
      </c>
      <c r="B6" s="18" t="s">
        <v>86</v>
      </c>
      <c r="C6" s="19">
        <v>44426</v>
      </c>
      <c r="D6" s="20" t="s">
        <v>79</v>
      </c>
      <c r="E6" s="20" t="s">
        <v>84</v>
      </c>
      <c r="F6" s="20" t="s">
        <v>85</v>
      </c>
      <c r="G6" s="26" t="str">
        <f>RIGHT(LEFT(Table2[[#This Row],[20''GP]],6),2)</f>
        <v>35</v>
      </c>
      <c r="H6" s="26" t="str">
        <f>RIGHT(LEFT(Table2[[#This Row],[40''GP/HC]],6),2)</f>
        <v>70</v>
      </c>
      <c r="I6" s="26" t="b">
        <f>ISNUMBER(SEARCH(
IF(LEN(TRIM('DD Calculator Europe'!$C$9))-LEN(SUBSTITUTE('DD Calculator Europe'!$C$9," ",""))+1&gt;1,
LEFT('DD Calculator Europe'!$C$9,FIND(" ",'DD Calculator Europe'!$C$9)-1),
'DD Calculator Europe'!$C$9), " "&amp;B6&amp;" "))</f>
        <v>0</v>
      </c>
    </row>
    <row r="7" spans="1:19">
      <c r="A7" s="21" t="s">
        <v>78</v>
      </c>
      <c r="B7" s="18" t="s">
        <v>87</v>
      </c>
      <c r="C7" s="19">
        <v>44482</v>
      </c>
      <c r="D7" s="20" t="s">
        <v>79</v>
      </c>
      <c r="E7" s="20" t="s">
        <v>81</v>
      </c>
      <c r="F7" s="20" t="s">
        <v>81</v>
      </c>
      <c r="G7" s="26" t="str">
        <f>RIGHT(LEFT(Table2[[#This Row],[20''GP]],6),2)</f>
        <v>50</v>
      </c>
      <c r="H7" s="26" t="str">
        <f>RIGHT(LEFT(Table2[[#This Row],[40''GP/HC]],6),2)</f>
        <v>50</v>
      </c>
      <c r="I7" s="26" t="b">
        <f>ISNUMBER(SEARCH(
IF(LEN(TRIM('DD Calculator Europe'!$C$9))-LEN(SUBSTITUTE('DD Calculator Europe'!$C$9," ",""))+1&gt;1,
LEFT('DD Calculator Europe'!$C$9,FIND(" ",'DD Calculator Europe'!$C$9)-1),
'DD Calculator Europe'!$C$9), " "&amp;B7&amp;" "))</f>
        <v>0</v>
      </c>
    </row>
    <row r="8" spans="1:19">
      <c r="A8" s="21" t="s">
        <v>88</v>
      </c>
      <c r="B8" s="18" t="s">
        <v>89</v>
      </c>
      <c r="C8" s="19">
        <v>44314</v>
      </c>
      <c r="D8" s="20" t="s">
        <v>79</v>
      </c>
      <c r="E8" s="20" t="s">
        <v>90</v>
      </c>
      <c r="F8" s="20" t="s">
        <v>90</v>
      </c>
      <c r="G8" s="26" t="str">
        <f>RIGHT(LEFT(Table2[[#This Row],[20''GP]],6),2)</f>
        <v>60</v>
      </c>
      <c r="H8" s="26" t="str">
        <f>RIGHT(LEFT(Table2[[#This Row],[40''GP/HC]],6),2)</f>
        <v>60</v>
      </c>
      <c r="I8" s="26" t="b">
        <f>ISNUMBER(SEARCH(
IF(LEN(TRIM('DD Calculator Europe'!$C$9))-LEN(SUBSTITUTE('DD Calculator Europe'!$C$9," ",""))+1&gt;1,
LEFT('DD Calculator Europe'!$C$9,FIND(" ",'DD Calculator Europe'!$C$9)-1),
'DD Calculator Europe'!$C$9), " "&amp;B8&amp;" "))</f>
        <v>0</v>
      </c>
    </row>
    <row r="9" spans="1:19">
      <c r="A9" s="21" t="s">
        <v>88</v>
      </c>
      <c r="B9" s="18" t="s">
        <v>91</v>
      </c>
      <c r="C9" s="19">
        <v>44314</v>
      </c>
      <c r="D9" s="20" t="s">
        <v>79</v>
      </c>
      <c r="E9" s="20" t="s">
        <v>84</v>
      </c>
      <c r="F9" s="20" t="s">
        <v>90</v>
      </c>
      <c r="G9" s="26" t="str">
        <f>RIGHT(LEFT(Table2[[#This Row],[20''GP]],6),2)</f>
        <v>35</v>
      </c>
      <c r="H9" s="26" t="str">
        <f>RIGHT(LEFT(Table2[[#This Row],[40''GP/HC]],6),2)</f>
        <v>60</v>
      </c>
      <c r="I9" s="26" t="b">
        <f>ISNUMBER(SEARCH(
IF(LEN(TRIM('DD Calculator Europe'!$C$9))-LEN(SUBSTITUTE('DD Calculator Europe'!$C$9," ",""))+1&gt;1,
LEFT('DD Calculator Europe'!$C$9,FIND(" ",'DD Calculator Europe'!$C$9)-1),
'DD Calculator Europe'!$C$9), " "&amp;B9&amp;" "))</f>
        <v>0</v>
      </c>
    </row>
    <row r="10" spans="1:19">
      <c r="A10" s="17" t="s">
        <v>88</v>
      </c>
      <c r="B10" s="18" t="s">
        <v>92</v>
      </c>
      <c r="C10" s="19">
        <v>44320</v>
      </c>
      <c r="D10" s="20" t="s">
        <v>79</v>
      </c>
      <c r="E10" s="20" t="s">
        <v>93</v>
      </c>
      <c r="F10" s="20" t="s">
        <v>93</v>
      </c>
      <c r="G10" s="26" t="str">
        <f>RIGHT(LEFT(Table2[[#This Row],[20''GP]],6),2)</f>
        <v>80</v>
      </c>
      <c r="H10" s="26" t="str">
        <f>RIGHT(LEFT(Table2[[#This Row],[40''GP/HC]],6),2)</f>
        <v>80</v>
      </c>
      <c r="I10" s="26" t="b">
        <f>ISNUMBER(SEARCH(
IF(LEN(TRIM('DD Calculator Europe'!$C$9))-LEN(SUBSTITUTE('DD Calculator Europe'!$C$9," ",""))+1&gt;1,
LEFT('DD Calculator Europe'!$C$9,FIND(" ",'DD Calculator Europe'!$C$9)-1),
'DD Calculator Europe'!$C$9), " "&amp;B10&amp;" "))</f>
        <v>0</v>
      </c>
    </row>
    <row r="11" spans="1:19" ht="42.75">
      <c r="A11" s="17" t="s">
        <v>88</v>
      </c>
      <c r="B11" s="18" t="s">
        <v>126</v>
      </c>
      <c r="C11" s="19">
        <v>44358</v>
      </c>
      <c r="D11" s="20" t="s">
        <v>79</v>
      </c>
      <c r="E11" s="20" t="s">
        <v>94</v>
      </c>
      <c r="F11" s="20" t="s">
        <v>93</v>
      </c>
      <c r="G11" s="26" t="str">
        <f>RIGHT(LEFT(Table2[[#This Row],[20''GP]],6),2)</f>
        <v>55</v>
      </c>
      <c r="H11" s="26" t="str">
        <f>RIGHT(LEFT(Table2[[#This Row],[40''GP/HC]],6),2)</f>
        <v>80</v>
      </c>
      <c r="I11" s="26" t="b">
        <f>ISNUMBER(SEARCH(
IF(LEN(TRIM('DD Calculator Europe'!$C$9))-LEN(SUBSTITUTE('DD Calculator Europe'!$C$9," ",""))+1&gt;1,
LEFT('DD Calculator Europe'!$C$9,FIND(" ",'DD Calculator Europe'!$C$9)-1),
'DD Calculator Europe'!$C$9), " "&amp;B11&amp;" "))</f>
        <v>0</v>
      </c>
      <c r="Q11" s="27"/>
    </row>
    <row r="12" spans="1:19">
      <c r="A12" s="21" t="s">
        <v>88</v>
      </c>
      <c r="B12" s="18" t="s">
        <v>95</v>
      </c>
      <c r="C12" s="19">
        <v>44314</v>
      </c>
      <c r="D12" s="20" t="s">
        <v>79</v>
      </c>
      <c r="E12" s="20" t="s">
        <v>96</v>
      </c>
      <c r="F12" s="20" t="s">
        <v>96</v>
      </c>
      <c r="G12" s="26" t="str">
        <f>RIGHT(LEFT(Table2[[#This Row],[20''GP]],6),2)</f>
        <v>90</v>
      </c>
      <c r="H12" s="26" t="str">
        <f>RIGHT(LEFT(Table2[[#This Row],[40''GP/HC]],6),2)</f>
        <v>90</v>
      </c>
      <c r="I12" s="26" t="b">
        <f>ISNUMBER(SEARCH(
IF(LEN(TRIM('DD Calculator Europe'!$C$9))-LEN(SUBSTITUTE('DD Calculator Europe'!$C$9," ",""))+1&gt;1,
LEFT('DD Calculator Europe'!$C$9,FIND(" ",'DD Calculator Europe'!$C$9)-1),
'DD Calculator Europe'!$C$9), " "&amp;B12&amp;" "))</f>
        <v>0</v>
      </c>
      <c r="Q12" s="27"/>
    </row>
    <row r="13" spans="1:19">
      <c r="A13" s="21" t="s">
        <v>97</v>
      </c>
      <c r="B13" s="18" t="s">
        <v>98</v>
      </c>
      <c r="C13" s="19">
        <v>44314</v>
      </c>
      <c r="D13" s="20" t="s">
        <v>79</v>
      </c>
      <c r="E13" s="20" t="s">
        <v>80</v>
      </c>
      <c r="F13" s="20" t="s">
        <v>99</v>
      </c>
      <c r="G13" s="26" t="str">
        <f>RIGHT(LEFT(Table2[[#This Row],[20''GP]],6),2)</f>
        <v>25</v>
      </c>
      <c r="H13" s="26" t="str">
        <f>RIGHT(LEFT(Table2[[#This Row],[40''GP/HC]],6),2)</f>
        <v>45</v>
      </c>
      <c r="I13" s="26" t="b">
        <f>ISNUMBER(SEARCH(
IF(LEN(TRIM('DD Calculator Europe'!$C$9))-LEN(SUBSTITUTE('DD Calculator Europe'!$C$9," ",""))+1&gt;1,
LEFT('DD Calculator Europe'!$C$9,FIND(" ",'DD Calculator Europe'!$C$9)-1),
'DD Calculator Europe'!$C$9), " "&amp;B13&amp;" "))</f>
        <v>0</v>
      </c>
    </row>
    <row r="14" spans="1:19">
      <c r="A14" s="21" t="s">
        <v>97</v>
      </c>
      <c r="B14" s="18" t="s">
        <v>223</v>
      </c>
      <c r="C14" s="19">
        <v>44749</v>
      </c>
      <c r="D14" s="20" t="s">
        <v>79</v>
      </c>
      <c r="E14" s="20" t="s">
        <v>80</v>
      </c>
      <c r="F14" s="20" t="s">
        <v>84</v>
      </c>
      <c r="G14" s="26" t="str">
        <f>RIGHT(LEFT(Table2[[#This Row],[20''GP]],6),2)</f>
        <v>25</v>
      </c>
      <c r="H14" s="26" t="str">
        <f>RIGHT(LEFT(Table2[[#This Row],[40''GP/HC]],6),2)</f>
        <v>35</v>
      </c>
      <c r="I14" s="26" t="b">
        <f>ISNUMBER(SEARCH(
IF(LEN(TRIM('DD Calculator Europe'!$C$9))-LEN(SUBSTITUTE('DD Calculator Europe'!$C$9," ",""))+1&gt;1,
LEFT('DD Calculator Europe'!$C$9,FIND(" ",'DD Calculator Europe'!$C$9)-1),
'DD Calculator Europe'!$C$9), " "&amp;B14&amp;" "))</f>
        <v>0</v>
      </c>
    </row>
    <row r="15" spans="1:19">
      <c r="A15" s="21" t="s">
        <v>97</v>
      </c>
      <c r="B15" s="18" t="s">
        <v>100</v>
      </c>
      <c r="C15" s="19">
        <v>44314</v>
      </c>
      <c r="D15" s="20" t="s">
        <v>79</v>
      </c>
      <c r="E15" s="20" t="s">
        <v>80</v>
      </c>
      <c r="F15" s="20" t="s">
        <v>85</v>
      </c>
      <c r="G15" s="26" t="str">
        <f>RIGHT(LEFT(Table2[[#This Row],[20''GP]],6),2)</f>
        <v>25</v>
      </c>
      <c r="H15" s="26" t="str">
        <f>RIGHT(LEFT(Table2[[#This Row],[40''GP/HC]],6),2)</f>
        <v>70</v>
      </c>
      <c r="I15" s="26" t="b">
        <f>ISNUMBER(SEARCH(
IF(LEN(TRIM('DD Calculator Europe'!$C$9))-LEN(SUBSTITUTE('DD Calculator Europe'!$C$9," ",""))+1&gt;1,
LEFT('DD Calculator Europe'!$C$9,FIND(" ",'DD Calculator Europe'!$C$9)-1),
'DD Calculator Europe'!$C$9), " "&amp;B15&amp;" "))</f>
        <v>0</v>
      </c>
    </row>
    <row r="16" spans="1:19">
      <c r="A16" s="21" t="s">
        <v>97</v>
      </c>
      <c r="B16" s="18" t="s">
        <v>101</v>
      </c>
      <c r="C16" s="19">
        <v>44314</v>
      </c>
      <c r="D16" s="20" t="s">
        <v>79</v>
      </c>
      <c r="E16" s="20" t="s">
        <v>99</v>
      </c>
      <c r="F16" s="20" t="s">
        <v>102</v>
      </c>
      <c r="G16" s="26" t="str">
        <f>RIGHT(LEFT(Table2[[#This Row],[20''GP]],6),2)</f>
        <v>45</v>
      </c>
      <c r="H16" s="26" t="str">
        <f>RIGHT(LEFT(Table2[[#This Row],[40''GP/HC]],6),2)</f>
        <v>85</v>
      </c>
      <c r="I16" s="26" t="b">
        <f>ISNUMBER(SEARCH(
IF(LEN(TRIM('DD Calculator Europe'!$C$9))-LEN(SUBSTITUTE('DD Calculator Europe'!$C$9," ",""))+1&gt;1,
LEFT('DD Calculator Europe'!$C$9,FIND(" ",'DD Calculator Europe'!$C$9)-1),
'DD Calculator Europe'!$C$9), " "&amp;B16&amp;" "))</f>
        <v>0</v>
      </c>
    </row>
    <row r="17" spans="1:9">
      <c r="A17" s="21" t="s">
        <v>97</v>
      </c>
      <c r="B17" s="18" t="s">
        <v>103</v>
      </c>
      <c r="C17" s="19">
        <v>44314</v>
      </c>
      <c r="D17" s="20" t="s">
        <v>79</v>
      </c>
      <c r="E17" s="20" t="s">
        <v>80</v>
      </c>
      <c r="F17" s="20" t="s">
        <v>104</v>
      </c>
      <c r="G17" s="26" t="str">
        <f>RIGHT(LEFT(Table2[[#This Row],[20''GP]],6),2)</f>
        <v>25</v>
      </c>
      <c r="H17" s="26" t="str">
        <f>RIGHT(LEFT(Table2[[#This Row],[40''GP/HC]],6),2)</f>
        <v>30</v>
      </c>
      <c r="I17" s="26" t="b">
        <f>ISNUMBER(SEARCH(
IF(LEN(TRIM('DD Calculator Europe'!$C$9))-LEN(SUBSTITUTE('DD Calculator Europe'!$C$9," ",""))+1&gt;1,
LEFT('DD Calculator Europe'!$C$9,FIND(" ",'DD Calculator Europe'!$C$9)-1),
'DD Calculator Europe'!$C$9), " "&amp;B17&amp;" "))</f>
        <v>0</v>
      </c>
    </row>
    <row r="18" spans="1:9">
      <c r="A18" s="21" t="s">
        <v>105</v>
      </c>
      <c r="B18" s="18" t="s">
        <v>106</v>
      </c>
      <c r="C18" s="19">
        <v>44484</v>
      </c>
      <c r="D18" s="20" t="s">
        <v>79</v>
      </c>
      <c r="E18" s="20" t="s">
        <v>90</v>
      </c>
      <c r="F18" s="20" t="s">
        <v>90</v>
      </c>
      <c r="G18" s="26" t="str">
        <f>RIGHT(LEFT(Table2[[#This Row],[20''GP]],6),2)</f>
        <v>60</v>
      </c>
      <c r="H18" s="26" t="str">
        <f>RIGHT(LEFT(Table2[[#This Row],[40''GP/HC]],6),2)</f>
        <v>60</v>
      </c>
      <c r="I18" s="26" t="b">
        <f>ISNUMBER(SEARCH(
IF(LEN(TRIM('DD Calculator Europe'!$C$9))-LEN(SUBSTITUTE('DD Calculator Europe'!$C$9," ",""))+1&gt;1,
LEFT('DD Calculator Europe'!$C$9,FIND(" ",'DD Calculator Europe'!$C$9)-1),
'DD Calculator Europe'!$C$9), " "&amp;B18&amp;" "))</f>
        <v>0</v>
      </c>
    </row>
    <row r="19" spans="1:9">
      <c r="A19" s="21" t="s">
        <v>105</v>
      </c>
      <c r="B19" s="18" t="s">
        <v>107</v>
      </c>
      <c r="C19" s="19">
        <v>44314</v>
      </c>
      <c r="D19" s="20" t="s">
        <v>79</v>
      </c>
      <c r="E19" s="20" t="s">
        <v>90</v>
      </c>
      <c r="F19" s="20" t="s">
        <v>90</v>
      </c>
      <c r="G19" s="26" t="str">
        <f>RIGHT(LEFT(Table2[[#This Row],[20''GP]],6),2)</f>
        <v>60</v>
      </c>
      <c r="H19" s="26" t="str">
        <f>RIGHT(LEFT(Table2[[#This Row],[40''GP/HC]],6),2)</f>
        <v>60</v>
      </c>
      <c r="I19" s="26" t="b">
        <f>ISNUMBER(SEARCH(
IF(LEN(TRIM('DD Calculator Europe'!$C$9))-LEN(SUBSTITUTE('DD Calculator Europe'!$C$9," ",""))+1&gt;1,
LEFT('DD Calculator Europe'!$C$9,FIND(" ",'DD Calculator Europe'!$C$9)-1),
'DD Calculator Europe'!$C$9), " "&amp;B19&amp;" "))</f>
        <v>0</v>
      </c>
    </row>
    <row r="20" spans="1:9" ht="28.5">
      <c r="A20" s="21" t="s">
        <v>108</v>
      </c>
      <c r="B20" s="18" t="s">
        <v>109</v>
      </c>
      <c r="C20" s="19">
        <v>44314</v>
      </c>
      <c r="D20" s="20" t="s">
        <v>79</v>
      </c>
      <c r="E20" s="20" t="s">
        <v>80</v>
      </c>
      <c r="F20" s="20" t="s">
        <v>80</v>
      </c>
      <c r="G20" s="26" t="str">
        <f>RIGHT(LEFT(Table2[[#This Row],[20''GP]],6),2)</f>
        <v>25</v>
      </c>
      <c r="H20" s="26" t="str">
        <f>RIGHT(LEFT(Table2[[#This Row],[40''GP/HC]],6),2)</f>
        <v>25</v>
      </c>
      <c r="I20" s="26" t="b">
        <f>ISNUMBER(SEARCH(
IF(LEN(TRIM('DD Calculator Europe'!$C$9))-LEN(SUBSTITUTE('DD Calculator Europe'!$C$9," ",""))+1&gt;1,
LEFT('DD Calculator Europe'!$C$9,FIND(" ",'DD Calculator Europe'!$C$9)-1),
'DD Calculator Europe'!$C$9), " "&amp;B20&amp;" "))</f>
        <v>0</v>
      </c>
    </row>
    <row r="21" spans="1:9" ht="42.75">
      <c r="A21" s="21" t="s">
        <v>108</v>
      </c>
      <c r="B21" s="18" t="s">
        <v>110</v>
      </c>
      <c r="C21" s="19">
        <v>44314</v>
      </c>
      <c r="D21" s="20" t="s">
        <v>79</v>
      </c>
      <c r="E21" s="20" t="s">
        <v>84</v>
      </c>
      <c r="F21" s="20" t="s">
        <v>81</v>
      </c>
      <c r="G21" s="26" t="str">
        <f>RIGHT(LEFT(Table2[[#This Row],[20''GP]],6),2)</f>
        <v>35</v>
      </c>
      <c r="H21" s="26" t="str">
        <f>RIGHT(LEFT(Table2[[#This Row],[40''GP/HC]],6),2)</f>
        <v>50</v>
      </c>
      <c r="I21" s="26" t="b">
        <f>ISNUMBER(SEARCH(
IF(LEN(TRIM('DD Calculator Europe'!$C$9))-LEN(SUBSTITUTE('DD Calculator Europe'!$C$9," ",""))+1&gt;1,
LEFT('DD Calculator Europe'!$C$9,FIND(" ",'DD Calculator Europe'!$C$9)-1),
'DD Calculator Europe'!$C$9), " "&amp;B21&amp;" "))</f>
        <v>0</v>
      </c>
    </row>
    <row r="22" spans="1:9">
      <c r="A22" s="21" t="s">
        <v>108</v>
      </c>
      <c r="B22" s="18" t="s">
        <v>111</v>
      </c>
      <c r="C22" s="19">
        <v>44314</v>
      </c>
      <c r="D22" s="20" t="s">
        <v>79</v>
      </c>
      <c r="E22" s="20" t="s">
        <v>84</v>
      </c>
      <c r="F22" s="20" t="s">
        <v>84</v>
      </c>
      <c r="G22" s="26" t="str">
        <f>RIGHT(LEFT(Table2[[#This Row],[20''GP]],6),2)</f>
        <v>35</v>
      </c>
      <c r="H22" s="26" t="str">
        <f>RIGHT(LEFT(Table2[[#This Row],[40''GP/HC]],6),2)</f>
        <v>35</v>
      </c>
      <c r="I22" s="26" t="b">
        <f>ISNUMBER(SEARCH(
IF(LEN(TRIM('DD Calculator Europe'!$C$9))-LEN(SUBSTITUTE('DD Calculator Europe'!$C$9," ",""))+1&gt;1,
LEFT('DD Calculator Europe'!$C$9,FIND(" ",'DD Calculator Europe'!$C$9)-1),
'DD Calculator Europe'!$C$9), " "&amp;B22&amp;" "))</f>
        <v>0</v>
      </c>
    </row>
    <row r="23" spans="1:9">
      <c r="A23" s="21" t="s">
        <v>108</v>
      </c>
      <c r="B23" s="18" t="s">
        <v>112</v>
      </c>
      <c r="C23" s="19">
        <v>44314</v>
      </c>
      <c r="D23" s="20" t="s">
        <v>79</v>
      </c>
      <c r="E23" s="20" t="s">
        <v>80</v>
      </c>
      <c r="F23" s="20" t="s">
        <v>104</v>
      </c>
      <c r="G23" s="26" t="str">
        <f>RIGHT(LEFT(Table2[[#This Row],[20''GP]],6),2)</f>
        <v>25</v>
      </c>
      <c r="H23" s="26" t="str">
        <f>RIGHT(LEFT(Table2[[#This Row],[40''GP/HC]],6),2)</f>
        <v>30</v>
      </c>
      <c r="I23" s="26" t="b">
        <f>ISNUMBER(SEARCH(
IF(LEN(TRIM('DD Calculator Europe'!$C$9))-LEN(SUBSTITUTE('DD Calculator Europe'!$C$9," ",""))+1&gt;1,
LEFT('DD Calculator Europe'!$C$9,FIND(" ",'DD Calculator Europe'!$C$9)-1),
'DD Calculator Europe'!$C$9), " "&amp;B23&amp;" "))</f>
        <v>0</v>
      </c>
    </row>
    <row r="24" spans="1:9">
      <c r="A24" s="21" t="s">
        <v>113</v>
      </c>
      <c r="B24" s="18" t="s">
        <v>114</v>
      </c>
      <c r="C24" s="19">
        <v>44314</v>
      </c>
      <c r="D24" s="20" t="s">
        <v>79</v>
      </c>
      <c r="E24" s="20" t="s">
        <v>104</v>
      </c>
      <c r="F24" s="20" t="s">
        <v>99</v>
      </c>
      <c r="G24" s="26" t="str">
        <f>RIGHT(LEFT(Table2[[#This Row],[20''GP]],6),2)</f>
        <v>30</v>
      </c>
      <c r="H24" s="26" t="str">
        <f>RIGHT(LEFT(Table2[[#This Row],[40''GP/HC]],6),2)</f>
        <v>45</v>
      </c>
      <c r="I24" s="26" t="b">
        <f>ISNUMBER(SEARCH(
IF(LEN(TRIM('DD Calculator Europe'!$C$9))-LEN(SUBSTITUTE('DD Calculator Europe'!$C$9," ",""))+1&gt;1,
LEFT('DD Calculator Europe'!$C$9,FIND(" ",'DD Calculator Europe'!$C$9)-1),
'DD Calculator Europe'!$C$9), " "&amp;B24&amp;" "))</f>
        <v>0</v>
      </c>
    </row>
    <row r="25" spans="1:9">
      <c r="A25" s="21" t="s">
        <v>113</v>
      </c>
      <c r="B25" s="18" t="s">
        <v>115</v>
      </c>
      <c r="C25" s="19">
        <v>44314</v>
      </c>
      <c r="D25" s="20" t="s">
        <v>79</v>
      </c>
      <c r="E25" s="20" t="s">
        <v>80</v>
      </c>
      <c r="F25" s="20" t="s">
        <v>84</v>
      </c>
      <c r="G25" s="26" t="str">
        <f>RIGHT(LEFT(Table2[[#This Row],[20''GP]],6),2)</f>
        <v>25</v>
      </c>
      <c r="H25" s="26" t="str">
        <f>RIGHT(LEFT(Table2[[#This Row],[40''GP/HC]],6),2)</f>
        <v>35</v>
      </c>
      <c r="I25" s="26" t="b">
        <f>ISNUMBER(SEARCH(
IF(LEN(TRIM('DD Calculator Europe'!$C$9))-LEN(SUBSTITUTE('DD Calculator Europe'!$C$9," ",""))+1&gt;1,
LEFT('DD Calculator Europe'!$C$9,FIND(" ",'DD Calculator Europe'!$C$9)-1),
'DD Calculator Europe'!$C$9), " "&amp;B25&amp;" "))</f>
        <v>0</v>
      </c>
    </row>
    <row r="26" spans="1:9">
      <c r="A26" s="21" t="s">
        <v>113</v>
      </c>
      <c r="B26" s="18" t="s">
        <v>116</v>
      </c>
      <c r="C26" s="19">
        <v>44314</v>
      </c>
      <c r="D26" s="20" t="s">
        <v>79</v>
      </c>
      <c r="E26" s="20" t="s">
        <v>117</v>
      </c>
      <c r="F26" s="20" t="s">
        <v>80</v>
      </c>
      <c r="G26" s="26" t="str">
        <f>RIGHT(LEFT(Table2[[#This Row],[20''GP]],6),2)</f>
        <v>10</v>
      </c>
      <c r="H26" s="26" t="str">
        <f>RIGHT(LEFT(Table2[[#This Row],[40''GP/HC]],6),2)</f>
        <v>25</v>
      </c>
      <c r="I26" s="26" t="b">
        <f>ISNUMBER(SEARCH(
IF(LEN(TRIM('DD Calculator Europe'!$C$9))-LEN(SUBSTITUTE('DD Calculator Europe'!$C$9," ",""))+1&gt;1,
LEFT('DD Calculator Europe'!$C$9,FIND(" ",'DD Calculator Europe'!$C$9)-1),
'DD Calculator Europe'!$C$9), " "&amp;B26&amp;" "))</f>
        <v>0</v>
      </c>
    </row>
    <row r="27" spans="1:9">
      <c r="A27" s="21" t="s">
        <v>113</v>
      </c>
      <c r="B27" s="18" t="s">
        <v>41</v>
      </c>
      <c r="C27" s="19">
        <v>44314</v>
      </c>
      <c r="D27" s="20" t="s">
        <v>79</v>
      </c>
      <c r="E27" s="20" t="s">
        <v>117</v>
      </c>
      <c r="F27" s="20" t="s">
        <v>118</v>
      </c>
      <c r="G27" s="26" t="str">
        <f>RIGHT(LEFT(Table2[[#This Row],[20''GP]],6),2)</f>
        <v>10</v>
      </c>
      <c r="H27" s="26" t="str">
        <f>RIGHT(LEFT(Table2[[#This Row],[40''GP/HC]],6),2)</f>
        <v>15</v>
      </c>
      <c r="I27" s="26" t="b">
        <f>ISNUMBER(SEARCH(
IF(LEN(TRIM('DD Calculator Europe'!$C$9))-LEN(SUBSTITUTE('DD Calculator Europe'!$C$9," ",""))+1&gt;1,
LEFT('DD Calculator Europe'!$C$9,FIND(" ",'DD Calculator Europe'!$C$9)-1),
'DD Calculator Europe'!$C$9), " "&amp;B27&amp;" "))</f>
        <v>0</v>
      </c>
    </row>
    <row r="28" spans="1:9">
      <c r="A28" s="21" t="s">
        <v>113</v>
      </c>
      <c r="B28" s="18" t="s">
        <v>320</v>
      </c>
      <c r="C28" s="19">
        <v>44314</v>
      </c>
      <c r="D28" s="20" t="s">
        <v>79</v>
      </c>
      <c r="E28" s="20" t="s">
        <v>118</v>
      </c>
      <c r="F28" s="20" t="s">
        <v>80</v>
      </c>
      <c r="G28" s="26" t="str">
        <f>RIGHT(LEFT(Table2[[#This Row],[20''GP]],6),2)</f>
        <v>15</v>
      </c>
      <c r="H28" s="26" t="str">
        <f>RIGHT(LEFT(Table2[[#This Row],[40''GP/HC]],6),2)</f>
        <v>25</v>
      </c>
      <c r="I28" s="26" t="b">
        <f>ISNUMBER(SEARCH(
IF(LEN(TRIM('DD Calculator Europe'!$C$9))-LEN(SUBSTITUTE('DD Calculator Europe'!$C$9," ",""))+1&gt;1,
LEFT('DD Calculator Europe'!$C$9,FIND(" ",'DD Calculator Europe'!$C$9)-1),
'DD Calculator Europe'!$C$9), " "&amp;B28&amp;" "))</f>
        <v>0</v>
      </c>
    </row>
    <row r="29" spans="1:9">
      <c r="A29" s="21" t="s">
        <v>113</v>
      </c>
      <c r="B29" s="18" t="s">
        <v>20</v>
      </c>
      <c r="C29" s="19">
        <v>44314</v>
      </c>
      <c r="D29" s="20" t="s">
        <v>79</v>
      </c>
      <c r="E29" s="20" t="s">
        <v>80</v>
      </c>
      <c r="F29" s="20" t="s">
        <v>119</v>
      </c>
      <c r="G29" s="26" t="str">
        <f>RIGHT(LEFT(Table2[[#This Row],[20''GP]],6),2)</f>
        <v>25</v>
      </c>
      <c r="H29" s="26" t="str">
        <f>RIGHT(LEFT(Table2[[#This Row],[40''GP/HC]],6),2)</f>
        <v>40</v>
      </c>
      <c r="I29" s="26" t="b">
        <f>ISNUMBER(SEARCH(
IF(LEN(TRIM('DD Calculator Europe'!$C$9))-LEN(SUBSTITUTE('DD Calculator Europe'!$C$9," ",""))+1&gt;1,
LEFT('DD Calculator Europe'!$C$9,FIND(" ",'DD Calculator Europe'!$C$9)-1),
'DD Calculator Europe'!$C$9), " "&amp;B29&amp;" "))</f>
        <v>0</v>
      </c>
    </row>
    <row r="30" spans="1:9">
      <c r="A30" s="21" t="s">
        <v>113</v>
      </c>
      <c r="B30" s="18" t="s">
        <v>23</v>
      </c>
      <c r="C30" s="19">
        <v>44314</v>
      </c>
      <c r="D30" s="20" t="s">
        <v>79</v>
      </c>
      <c r="E30" s="20" t="s">
        <v>120</v>
      </c>
      <c r="F30" s="20" t="s">
        <v>118</v>
      </c>
      <c r="G30" s="26" t="str">
        <f>RIGHT(LEFT(Table2[[#This Row],[20''GP]],6),2)</f>
        <v xml:space="preserve">5 </v>
      </c>
      <c r="H30" s="26" t="str">
        <f>RIGHT(LEFT(Table2[[#This Row],[40''GP/HC]],6),2)</f>
        <v>15</v>
      </c>
      <c r="I30" s="26" t="b">
        <f>ISNUMBER(SEARCH(
IF(LEN(TRIM('DD Calculator Europe'!$C$9))-LEN(SUBSTITUTE('DD Calculator Europe'!$C$9," ",""))+1&gt;1,
LEFT('DD Calculator Europe'!$C$9,FIND(" ",'DD Calculator Europe'!$C$9)-1),
'DD Calculator Europe'!$C$9), " "&amp;B30&amp;" "))</f>
        <v>0</v>
      </c>
    </row>
    <row r="31" spans="1:9">
      <c r="A31" s="21" t="s">
        <v>113</v>
      </c>
      <c r="B31" s="18" t="s">
        <v>121</v>
      </c>
      <c r="C31" s="19">
        <v>44314</v>
      </c>
      <c r="D31" s="20" t="s">
        <v>79</v>
      </c>
      <c r="E31" s="20" t="s">
        <v>122</v>
      </c>
      <c r="F31" s="20" t="s">
        <v>104</v>
      </c>
      <c r="G31" s="26" t="str">
        <f>RIGHT(LEFT(Table2[[#This Row],[20''GP]],6),2)</f>
        <v>20</v>
      </c>
      <c r="H31" s="26" t="str">
        <f>RIGHT(LEFT(Table2[[#This Row],[40''GP/HC]],6),2)</f>
        <v>30</v>
      </c>
      <c r="I31" s="26" t="b">
        <f>ISNUMBER(SEARCH(
IF(LEN(TRIM('DD Calculator Europe'!$C$9))-LEN(SUBSTITUTE('DD Calculator Europe'!$C$9," ",""))+1&gt;1,
LEFT('DD Calculator Europe'!$C$9,FIND(" ",'DD Calculator Europe'!$C$9)-1),
'DD Calculator Europe'!$C$9), " "&amp;B31&amp;" "))</f>
        <v>0</v>
      </c>
    </row>
    <row r="32" spans="1:9">
      <c r="A32" s="21" t="s">
        <v>113</v>
      </c>
      <c r="B32" s="18" t="s">
        <v>32</v>
      </c>
      <c r="C32" s="19">
        <v>44314</v>
      </c>
      <c r="D32" s="20" t="s">
        <v>79</v>
      </c>
      <c r="E32" s="20" t="s">
        <v>118</v>
      </c>
      <c r="F32" s="20" t="s">
        <v>104</v>
      </c>
      <c r="G32" s="26" t="str">
        <f>RIGHT(LEFT(Table2[[#This Row],[20''GP]],6),2)</f>
        <v>15</v>
      </c>
      <c r="H32" s="26" t="str">
        <f>RIGHT(LEFT(Table2[[#This Row],[40''GP/HC]],6),2)</f>
        <v>30</v>
      </c>
      <c r="I32" s="26" t="b">
        <f>ISNUMBER(SEARCH(
IF(LEN(TRIM('DD Calculator Europe'!$C$9))-LEN(SUBSTITUTE('DD Calculator Europe'!$C$9," ",""))+1&gt;1,
LEFT('DD Calculator Europe'!$C$9,FIND(" ",'DD Calculator Europe'!$C$9)-1),
'DD Calculator Europe'!$C$9), " "&amp;B32&amp;" "))</f>
        <v>0</v>
      </c>
    </row>
    <row r="33" spans="1:17">
      <c r="A33" s="21" t="s">
        <v>113</v>
      </c>
      <c r="B33" s="18" t="s">
        <v>35</v>
      </c>
      <c r="C33" s="19">
        <v>44381</v>
      </c>
      <c r="D33" s="20" t="s">
        <v>79</v>
      </c>
      <c r="E33" s="20" t="s">
        <v>122</v>
      </c>
      <c r="F33" s="20" t="s">
        <v>84</v>
      </c>
      <c r="G33" s="26" t="str">
        <f>RIGHT(LEFT(Table2[[#This Row],[20''GP]],6),2)</f>
        <v>20</v>
      </c>
      <c r="H33" s="26" t="str">
        <f>RIGHT(LEFT(Table2[[#This Row],[40''GP/HC]],6),2)</f>
        <v>35</v>
      </c>
      <c r="I33" s="26" t="b">
        <f>ISNUMBER(SEARCH(
IF(LEN(TRIM('DD Calculator Europe'!$C$9))-LEN(SUBSTITUTE('DD Calculator Europe'!$C$9," ",""))+1&gt;1,
LEFT('DD Calculator Europe'!$C$9,FIND(" ",'DD Calculator Europe'!$C$9)-1),
'DD Calculator Europe'!$C$9), " "&amp;B33&amp;" "))</f>
        <v>0</v>
      </c>
    </row>
    <row r="34" spans="1:17">
      <c r="A34" s="22" t="s">
        <v>97</v>
      </c>
      <c r="B34" s="18" t="s">
        <v>127</v>
      </c>
      <c r="C34" s="19">
        <v>44743</v>
      </c>
      <c r="D34" s="158">
        <v>44834</v>
      </c>
      <c r="E34" s="20" t="s">
        <v>128</v>
      </c>
      <c r="F34" s="20" t="s">
        <v>129</v>
      </c>
      <c r="G34" s="26" t="str">
        <f>RIGHT(LEFT(Table2[[#This Row],[20''GP]],6),2)</f>
        <v>16</v>
      </c>
      <c r="H34" s="26" t="str">
        <f>RIGHT(LEFT(Table2[[#This Row],[40''GP/HC]],6),2)</f>
        <v>32</v>
      </c>
      <c r="I34" s="26" t="b">
        <f>ISNUMBER(SEARCH(
IF(LEN(TRIM('DD Calculator Europe'!$C$9))-LEN(SUBSTITUTE('DD Calculator Europe'!$C$9," ",""))+1&gt;1,
LEFT('DD Calculator Europe'!$C$9,FIND(" ",'DD Calculator Europe'!$C$9)-1),
'DD Calculator Europe'!$C$9), " "&amp;B34&amp;" "))</f>
        <v>0</v>
      </c>
      <c r="Q34" s="27"/>
    </row>
    <row r="35" spans="1:17">
      <c r="A35" s="21" t="s">
        <v>97</v>
      </c>
      <c r="B35" s="18" t="s">
        <v>127</v>
      </c>
      <c r="C35" s="19">
        <v>44835</v>
      </c>
      <c r="D35" s="20" t="s">
        <v>79</v>
      </c>
      <c r="E35" s="20" t="s">
        <v>117</v>
      </c>
      <c r="F35" s="20" t="s">
        <v>122</v>
      </c>
      <c r="G35" s="26" t="str">
        <f>RIGHT(LEFT(Table2[[#This Row],[20''GP]],6),2)</f>
        <v>10</v>
      </c>
      <c r="H35" s="26" t="str">
        <f>RIGHT(LEFT(Table2[[#This Row],[40''GP/HC]],6),2)</f>
        <v>20</v>
      </c>
      <c r="I35" s="26" t="b">
        <f>ISNUMBER(SEARCH(
IF(LEN(TRIM('DD Calculator Europe'!$C$9))-LEN(SUBSTITUTE('DD Calculator Europe'!$C$9," ",""))+1&gt;1,
LEFT('DD Calculator Europe'!$C$9,FIND(" ",'DD Calculator Europe'!$C$9)-1),
'DD Calculator Europe'!$C$9), " "&amp;B35&amp;" "))</f>
        <v>0</v>
      </c>
      <c r="Q35" s="27"/>
    </row>
    <row r="36" spans="1:17">
      <c r="A36" s="21" t="s">
        <v>130</v>
      </c>
      <c r="B36" s="18" t="s">
        <v>131</v>
      </c>
      <c r="C36" s="19">
        <v>44314</v>
      </c>
      <c r="D36" s="20" t="s">
        <v>79</v>
      </c>
      <c r="E36" s="20" t="s">
        <v>80</v>
      </c>
      <c r="F36" s="20" t="s">
        <v>80</v>
      </c>
      <c r="G36" s="26" t="str">
        <f>RIGHT(LEFT(Table2[[#This Row],[20''GP]],6),2)</f>
        <v>25</v>
      </c>
      <c r="H36" s="26" t="str">
        <f>RIGHT(LEFT(Table2[[#This Row],[40''GP/HC]],6),2)</f>
        <v>25</v>
      </c>
      <c r="I36" s="26" t="b">
        <f>ISNUMBER(SEARCH(
IF(LEN(TRIM('DD Calculator Europe'!$C$9))-LEN(SUBSTITUTE('DD Calculator Europe'!$C$9," ",""))+1&gt;1,
LEFT('DD Calculator Europe'!$C$9,FIND(" ",'DD Calculator Europe'!$C$9)-1),
'DD Calculator Europe'!$C$9), " "&amp;B36&amp;" "))</f>
        <v>0</v>
      </c>
    </row>
  </sheetData>
  <mergeCells count="1">
    <mergeCell ref="A1:B1"/>
  </mergeCell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0ABC2-91AE-4204-A10D-A77CAA398BD8}">
  <dimension ref="A1:I41"/>
  <sheetViews>
    <sheetView zoomScaleNormal="100" workbookViewId="0">
      <selection activeCell="C19" sqref="C19"/>
    </sheetView>
  </sheetViews>
  <sheetFormatPr defaultRowHeight="15"/>
  <cols>
    <col min="1" max="1" width="60.42578125" bestFit="1" customWidth="1"/>
    <col min="2" max="2" width="7.85546875" bestFit="1" customWidth="1"/>
    <col min="3" max="3" width="15.85546875" bestFit="1" customWidth="1"/>
    <col min="4" max="4" width="19.42578125" style="69" bestFit="1" customWidth="1"/>
    <col min="5" max="5" width="29.85546875" customWidth="1"/>
    <col min="6" max="6" width="19.42578125" customWidth="1"/>
    <col min="7" max="7" width="39.85546875" bestFit="1" customWidth="1"/>
  </cols>
  <sheetData>
    <row r="1" spans="1:9">
      <c r="A1" s="267"/>
      <c r="B1" s="520" t="s">
        <v>274</v>
      </c>
      <c r="C1" s="520" t="s">
        <v>275</v>
      </c>
      <c r="D1" s="520" t="s">
        <v>276</v>
      </c>
      <c r="E1" s="520" t="s">
        <v>294</v>
      </c>
      <c r="F1" s="520" t="s">
        <v>314</v>
      </c>
      <c r="G1" s="522" t="s">
        <v>295</v>
      </c>
      <c r="H1" s="245"/>
    </row>
    <row r="2" spans="1:9" ht="15.75" thickBot="1">
      <c r="A2" s="267"/>
      <c r="B2" s="521"/>
      <c r="C2" s="525"/>
      <c r="D2" s="526"/>
      <c r="E2" s="521"/>
      <c r="F2" s="521"/>
      <c r="G2" s="523"/>
      <c r="H2" s="245"/>
    </row>
    <row r="3" spans="1:9" ht="15.75" thickBot="1">
      <c r="A3" s="267" t="str">
        <f>IF(B3&amp;"-"&amp;C3="-","",B3&amp;"-"&amp;C3&amp;"-"&amp;D3&amp;"-"&amp;E3)</f>
        <v>MAPTM-All Terminals-Dry-20'ft</v>
      </c>
      <c r="B3" s="255" t="s">
        <v>273</v>
      </c>
      <c r="C3" s="257" t="s">
        <v>277</v>
      </c>
      <c r="D3" s="252" t="s">
        <v>305</v>
      </c>
      <c r="E3" s="278" t="s">
        <v>312</v>
      </c>
      <c r="F3" s="246">
        <v>2</v>
      </c>
      <c r="G3" s="247">
        <v>0</v>
      </c>
      <c r="H3" s="245"/>
      <c r="I3" t="s">
        <v>297</v>
      </c>
    </row>
    <row r="4" spans="1:9" ht="15.75" thickBot="1">
      <c r="A4" s="267" t="str">
        <f t="shared" ref="A4:A41" si="0">IF(B4&amp;"-"&amp;C4="-","",B4&amp;"-"&amp;C4&amp;"-"&amp;D4&amp;"-"&amp;E4)</f>
        <v>MAPTM-All Terminals-Dry-20'ft</v>
      </c>
      <c r="B4" s="256" t="s">
        <v>273</v>
      </c>
      <c r="C4" s="258" t="s">
        <v>277</v>
      </c>
      <c r="D4" s="253" t="s">
        <v>305</v>
      </c>
      <c r="E4" s="287" t="s">
        <v>312</v>
      </c>
      <c r="F4" s="246">
        <v>5</v>
      </c>
      <c r="G4" s="247">
        <v>19</v>
      </c>
      <c r="H4" s="245"/>
    </row>
    <row r="5" spans="1:9" ht="15.75" thickBot="1">
      <c r="A5" s="267" t="str">
        <f t="shared" si="0"/>
        <v>MAPTM-All Terminals-Dry-20'ft</v>
      </c>
      <c r="B5" s="256" t="s">
        <v>273</v>
      </c>
      <c r="C5" s="258" t="s">
        <v>277</v>
      </c>
      <c r="D5" s="254" t="s">
        <v>305</v>
      </c>
      <c r="E5" s="279" t="s">
        <v>312</v>
      </c>
      <c r="F5" s="68">
        <v>9999999</v>
      </c>
      <c r="G5" s="247">
        <v>48</v>
      </c>
      <c r="H5" s="245"/>
    </row>
    <row r="6" spans="1:9" ht="15.75" thickBot="1">
      <c r="A6" s="267" t="str">
        <f t="shared" si="0"/>
        <v>MAPTM-All Terminals-Dry-40/45'ft</v>
      </c>
      <c r="B6" s="255" t="s">
        <v>273</v>
      </c>
      <c r="C6" s="257" t="s">
        <v>277</v>
      </c>
      <c r="D6" s="252" t="s">
        <v>305</v>
      </c>
      <c r="E6" s="278" t="s">
        <v>313</v>
      </c>
      <c r="F6" s="246">
        <v>2</v>
      </c>
      <c r="G6" s="247">
        <v>0</v>
      </c>
      <c r="H6" s="245"/>
    </row>
    <row r="7" spans="1:9" ht="15.75" thickBot="1">
      <c r="A7" s="267" t="str">
        <f t="shared" si="0"/>
        <v>MAPTM-All Terminals-Dry-40/45'ft</v>
      </c>
      <c r="B7" s="256" t="s">
        <v>273</v>
      </c>
      <c r="C7" s="258" t="s">
        <v>277</v>
      </c>
      <c r="D7" s="253" t="s">
        <v>305</v>
      </c>
      <c r="E7" s="287" t="s">
        <v>313</v>
      </c>
      <c r="F7" s="246">
        <v>5</v>
      </c>
      <c r="G7" s="247">
        <v>38</v>
      </c>
      <c r="H7" s="245"/>
    </row>
    <row r="8" spans="1:9" ht="15.75" thickBot="1">
      <c r="A8" s="267" t="str">
        <f t="shared" si="0"/>
        <v>MAPTM-All Terminals-Dry-40/45'ft</v>
      </c>
      <c r="B8" s="256" t="s">
        <v>273</v>
      </c>
      <c r="C8" s="258" t="s">
        <v>277</v>
      </c>
      <c r="D8" s="254" t="s">
        <v>305</v>
      </c>
      <c r="E8" s="279" t="s">
        <v>313</v>
      </c>
      <c r="F8" s="68">
        <v>9999999</v>
      </c>
      <c r="G8" s="247">
        <v>96</v>
      </c>
      <c r="H8" s="245"/>
    </row>
    <row r="9" spans="1:9" ht="15.75" thickBot="1">
      <c r="A9" s="267" t="str">
        <f t="shared" si="0"/>
        <v>MAPTM-All Terminals-Reefer-20'ft</v>
      </c>
      <c r="B9" s="255" t="s">
        <v>273</v>
      </c>
      <c r="C9" s="255" t="s">
        <v>277</v>
      </c>
      <c r="D9" s="292" t="s">
        <v>306</v>
      </c>
      <c r="E9" s="278" t="s">
        <v>312</v>
      </c>
      <c r="F9" s="246">
        <v>2</v>
      </c>
      <c r="G9" s="247">
        <v>0</v>
      </c>
      <c r="H9" s="245"/>
    </row>
    <row r="10" spans="1:9" ht="15.75" thickBot="1">
      <c r="A10" s="267" t="str">
        <f t="shared" si="0"/>
        <v>MAPTM-All Terminals-Reefer-20'ft</v>
      </c>
      <c r="B10" s="256" t="s">
        <v>273</v>
      </c>
      <c r="C10" s="256" t="s">
        <v>277</v>
      </c>
      <c r="D10" s="292" t="s">
        <v>306</v>
      </c>
      <c r="E10" s="287" t="s">
        <v>312</v>
      </c>
      <c r="F10" s="246">
        <v>5</v>
      </c>
      <c r="G10" s="247">
        <v>36</v>
      </c>
      <c r="H10" s="245"/>
    </row>
    <row r="11" spans="1:9" ht="15.75" thickBot="1">
      <c r="A11" s="267" t="str">
        <f t="shared" si="0"/>
        <v>MAPTM-All Terminals-Reefer-20'ft</v>
      </c>
      <c r="B11" s="260" t="s">
        <v>273</v>
      </c>
      <c r="C11" s="260" t="s">
        <v>277</v>
      </c>
      <c r="D11" s="293" t="s">
        <v>306</v>
      </c>
      <c r="E11" s="279" t="s">
        <v>312</v>
      </c>
      <c r="F11" s="286">
        <v>9999999</v>
      </c>
      <c r="G11" s="247">
        <v>96</v>
      </c>
      <c r="H11" s="245"/>
    </row>
    <row r="12" spans="1:9" ht="15.75" thickBot="1">
      <c r="A12" s="267" t="str">
        <f t="shared" si="0"/>
        <v>MAPTM-All Terminals-Reefer-40/45'ft</v>
      </c>
      <c r="B12" s="255" t="s">
        <v>273</v>
      </c>
      <c r="C12" s="255" t="s">
        <v>277</v>
      </c>
      <c r="D12" s="253" t="s">
        <v>306</v>
      </c>
      <c r="E12" s="278" t="s">
        <v>313</v>
      </c>
      <c r="F12" s="246">
        <v>2</v>
      </c>
      <c r="G12" s="247">
        <v>0</v>
      </c>
      <c r="H12" s="245"/>
    </row>
    <row r="13" spans="1:9" ht="15.75" thickBot="1">
      <c r="A13" s="267" t="str">
        <f t="shared" si="0"/>
        <v>MAPTM-All Terminals-Reefer-40/45'ft</v>
      </c>
      <c r="B13" s="256" t="s">
        <v>273</v>
      </c>
      <c r="C13" s="256" t="s">
        <v>277</v>
      </c>
      <c r="D13" s="253" t="s">
        <v>306</v>
      </c>
      <c r="E13" s="287" t="s">
        <v>313</v>
      </c>
      <c r="F13" s="246">
        <v>5</v>
      </c>
      <c r="G13" s="247">
        <v>72</v>
      </c>
      <c r="H13" s="245"/>
    </row>
    <row r="14" spans="1:9" ht="15.75" thickBot="1">
      <c r="A14" s="267" t="str">
        <f t="shared" si="0"/>
        <v>MAPTM-All Terminals-Reefer-40/45'ft</v>
      </c>
      <c r="B14" s="260" t="s">
        <v>273</v>
      </c>
      <c r="C14" s="260" t="s">
        <v>277</v>
      </c>
      <c r="D14" s="254" t="s">
        <v>306</v>
      </c>
      <c r="E14" s="287" t="s">
        <v>313</v>
      </c>
      <c r="F14" s="68">
        <v>9999999</v>
      </c>
      <c r="G14" s="247">
        <v>192</v>
      </c>
      <c r="H14" s="245"/>
    </row>
    <row r="15" spans="1:9" ht="15.75" thickBot="1">
      <c r="A15" s="267" t="str">
        <f t="shared" si="0"/>
        <v>MAPTM-All Terminals-IMO-20'ft</v>
      </c>
      <c r="B15" s="255" t="s">
        <v>273</v>
      </c>
      <c r="C15" s="255" t="s">
        <v>277</v>
      </c>
      <c r="D15" s="294" t="s">
        <v>307</v>
      </c>
      <c r="E15" s="278" t="s">
        <v>312</v>
      </c>
      <c r="F15" s="246">
        <v>2</v>
      </c>
      <c r="G15" s="247">
        <v>0</v>
      </c>
      <c r="H15" s="245"/>
    </row>
    <row r="16" spans="1:9" ht="15.75" thickBot="1">
      <c r="A16" s="267" t="str">
        <f t="shared" si="0"/>
        <v>MAPTM-All Terminals-IMO-20'ft</v>
      </c>
      <c r="B16" s="256" t="s">
        <v>273</v>
      </c>
      <c r="C16" s="256" t="s">
        <v>277</v>
      </c>
      <c r="D16" s="293" t="s">
        <v>307</v>
      </c>
      <c r="E16" s="279" t="s">
        <v>312</v>
      </c>
      <c r="F16" s="286">
        <v>9999999</v>
      </c>
      <c r="G16" s="247">
        <v>297</v>
      </c>
      <c r="H16" s="245"/>
    </row>
    <row r="17" spans="1:8" ht="15.75" thickBot="1">
      <c r="A17" s="267" t="str">
        <f t="shared" si="0"/>
        <v>MAPTM-All Terminals-IMO-40/45'ft</v>
      </c>
      <c r="B17" s="256" t="s">
        <v>273</v>
      </c>
      <c r="C17" s="256" t="s">
        <v>277</v>
      </c>
      <c r="D17" s="252" t="s">
        <v>307</v>
      </c>
      <c r="E17" s="278" t="s">
        <v>313</v>
      </c>
      <c r="F17" s="246">
        <v>2</v>
      </c>
      <c r="G17" s="247">
        <v>0</v>
      </c>
      <c r="H17" s="245"/>
    </row>
    <row r="18" spans="1:8" ht="15.75" thickBot="1">
      <c r="A18" s="267" t="str">
        <f t="shared" si="0"/>
        <v>MAPTM-All Terminals-IMO-40/45'ft</v>
      </c>
      <c r="B18" s="260" t="s">
        <v>273</v>
      </c>
      <c r="C18" s="260" t="s">
        <v>277</v>
      </c>
      <c r="D18" s="254" t="s">
        <v>307</v>
      </c>
      <c r="E18" s="279" t="s">
        <v>313</v>
      </c>
      <c r="F18" s="68">
        <v>9999999</v>
      </c>
      <c r="G18" s="247">
        <v>594</v>
      </c>
      <c r="H18" s="245"/>
    </row>
    <row r="19" spans="1:8" ht="15.75" thickBot="1">
      <c r="A19" s="267" t="str">
        <f t="shared" si="0"/>
        <v>MAPTM-All Terminals-OOG-20'ft</v>
      </c>
      <c r="B19" s="255" t="s">
        <v>273</v>
      </c>
      <c r="C19" s="255" t="s">
        <v>277</v>
      </c>
      <c r="D19" s="252" t="s">
        <v>308</v>
      </c>
      <c r="E19" s="278" t="s">
        <v>312</v>
      </c>
      <c r="F19" s="246">
        <v>5</v>
      </c>
      <c r="G19" s="247">
        <v>36</v>
      </c>
      <c r="H19" s="245"/>
    </row>
    <row r="20" spans="1:8" ht="15.75" thickBot="1">
      <c r="A20" s="267" t="str">
        <f t="shared" si="0"/>
        <v>MAPTM-All Terminals-OOG-20'ft</v>
      </c>
      <c r="B20" s="256" t="s">
        <v>273</v>
      </c>
      <c r="C20" s="256" t="s">
        <v>277</v>
      </c>
      <c r="D20" s="254" t="s">
        <v>308</v>
      </c>
      <c r="E20" s="279" t="s">
        <v>312</v>
      </c>
      <c r="F20" s="68">
        <v>9999999</v>
      </c>
      <c r="G20" s="247">
        <v>98</v>
      </c>
      <c r="H20" s="245"/>
    </row>
    <row r="21" spans="1:8" ht="15.75" thickBot="1">
      <c r="A21" s="267" t="str">
        <f t="shared" si="0"/>
        <v>MAPTM-All Terminals-OOG-40/45'ft</v>
      </c>
      <c r="B21" s="256" t="s">
        <v>273</v>
      </c>
      <c r="C21" s="256" t="s">
        <v>277</v>
      </c>
      <c r="D21" s="252" t="s">
        <v>308</v>
      </c>
      <c r="E21" s="278" t="s">
        <v>313</v>
      </c>
      <c r="F21" s="246">
        <v>5</v>
      </c>
      <c r="G21" s="247">
        <v>72</v>
      </c>
      <c r="H21" s="245"/>
    </row>
    <row r="22" spans="1:8" ht="15.75" thickBot="1">
      <c r="A22" s="267" t="str">
        <f t="shared" si="0"/>
        <v>MAPTM-All Terminals-OOG-40/45'ft</v>
      </c>
      <c r="B22" s="260" t="s">
        <v>273</v>
      </c>
      <c r="C22" s="260" t="s">
        <v>277</v>
      </c>
      <c r="D22" s="253" t="s">
        <v>308</v>
      </c>
      <c r="E22" s="279" t="s">
        <v>313</v>
      </c>
      <c r="F22" s="66">
        <v>9999999</v>
      </c>
      <c r="G22" s="269">
        <v>196</v>
      </c>
      <c r="H22" s="245"/>
    </row>
    <row r="23" spans="1:8">
      <c r="A23" s="267" t="str">
        <f t="shared" si="0"/>
        <v>MAPTM-All Terminals-Plugging-20'ft</v>
      </c>
      <c r="B23" s="272" t="s">
        <v>273</v>
      </c>
      <c r="C23" s="255" t="s">
        <v>277</v>
      </c>
      <c r="D23" s="261" t="s">
        <v>278</v>
      </c>
      <c r="E23" s="278" t="s">
        <v>312</v>
      </c>
      <c r="F23" s="274">
        <v>9999999</v>
      </c>
      <c r="G23" s="280">
        <v>447</v>
      </c>
      <c r="H23" s="245"/>
    </row>
    <row r="24" spans="1:8" ht="15.75" thickBot="1">
      <c r="A24" s="267" t="str">
        <f t="shared" si="0"/>
        <v>MAPTM-All Terminals-Plugging-40/45'ft</v>
      </c>
      <c r="B24" s="275" t="s">
        <v>273</v>
      </c>
      <c r="C24" s="260" t="s">
        <v>277</v>
      </c>
      <c r="D24" s="263" t="s">
        <v>278</v>
      </c>
      <c r="E24" s="279" t="s">
        <v>313</v>
      </c>
      <c r="F24" s="276">
        <v>9999999</v>
      </c>
      <c r="G24" s="281">
        <v>447</v>
      </c>
      <c r="H24" s="245"/>
    </row>
    <row r="25" spans="1:8">
      <c r="A25" s="267" t="str">
        <f t="shared" si="0"/>
        <v>Port -Terminals-Description-Equipment</v>
      </c>
      <c r="B25" s="526" t="s">
        <v>274</v>
      </c>
      <c r="C25" s="526" t="s">
        <v>275</v>
      </c>
      <c r="D25" s="520" t="s">
        <v>276</v>
      </c>
      <c r="E25" s="520" t="s">
        <v>294</v>
      </c>
      <c r="F25" s="520" t="s">
        <v>314</v>
      </c>
      <c r="G25" s="522" t="s">
        <v>295</v>
      </c>
      <c r="H25" s="245"/>
    </row>
    <row r="26" spans="1:8" ht="15.75" thickBot="1">
      <c r="A26" s="267" t="str">
        <f t="shared" si="0"/>
        <v/>
      </c>
      <c r="B26" s="521"/>
      <c r="C26" s="525"/>
      <c r="D26" s="526"/>
      <c r="E26" s="521"/>
      <c r="F26" s="521"/>
      <c r="G26" s="524"/>
      <c r="H26" s="245"/>
    </row>
    <row r="27" spans="1:8">
      <c r="A27" s="267" t="str">
        <f t="shared" si="0"/>
        <v>MACAS-Somaport-Storage-x</v>
      </c>
      <c r="B27" s="255" t="s">
        <v>279</v>
      </c>
      <c r="C27" s="257" t="s">
        <v>280</v>
      </c>
      <c r="D27" s="261" t="s">
        <v>281</v>
      </c>
      <c r="E27" s="273" t="s">
        <v>288</v>
      </c>
      <c r="F27" s="261" t="s">
        <v>288</v>
      </c>
      <c r="G27" s="264" t="s">
        <v>282</v>
      </c>
      <c r="H27" s="245"/>
    </row>
    <row r="28" spans="1:8">
      <c r="A28" s="267" t="str">
        <f t="shared" si="0"/>
        <v>MACAS-Somaport-Plugging-x</v>
      </c>
      <c r="B28" s="256" t="s">
        <v>279</v>
      </c>
      <c r="C28" s="258" t="s">
        <v>280</v>
      </c>
      <c r="D28" s="262" t="s">
        <v>278</v>
      </c>
      <c r="E28" s="249" t="s">
        <v>288</v>
      </c>
      <c r="F28" s="262" t="s">
        <v>288</v>
      </c>
      <c r="G28" s="265" t="s">
        <v>282</v>
      </c>
      <c r="H28" s="245"/>
    </row>
    <row r="29" spans="1:8" ht="15.75" thickBot="1">
      <c r="A29" s="267" t="str">
        <f t="shared" si="0"/>
        <v>MACAS-Somaport-Monitoring-x</v>
      </c>
      <c r="B29" s="256" t="s">
        <v>279</v>
      </c>
      <c r="C29" s="258" t="s">
        <v>280</v>
      </c>
      <c r="D29" s="263" t="s">
        <v>283</v>
      </c>
      <c r="E29" s="249" t="s">
        <v>288</v>
      </c>
      <c r="F29" s="262" t="s">
        <v>288</v>
      </c>
      <c r="G29" s="266" t="s">
        <v>282</v>
      </c>
      <c r="H29" s="245"/>
    </row>
    <row r="30" spans="1:8" ht="15.75" thickBot="1">
      <c r="A30" s="267" t="str">
        <f t="shared" si="0"/>
        <v>MACAS-Marsa Maroc-Storage-x</v>
      </c>
      <c r="B30" s="272" t="s">
        <v>279</v>
      </c>
      <c r="C30" s="255" t="s">
        <v>284</v>
      </c>
      <c r="D30" s="261" t="s">
        <v>281</v>
      </c>
      <c r="E30" s="273" t="s">
        <v>288</v>
      </c>
      <c r="F30" s="262" t="s">
        <v>288</v>
      </c>
      <c r="G30" s="285" t="s">
        <v>282</v>
      </c>
      <c r="H30" s="245"/>
    </row>
    <row r="31" spans="1:8" ht="15.75" thickBot="1">
      <c r="A31" s="267" t="str">
        <f t="shared" si="0"/>
        <v>MACAS-Marsa Maroc-Plugging-20'ft</v>
      </c>
      <c r="B31" s="258" t="s">
        <v>279</v>
      </c>
      <c r="C31" s="256" t="s">
        <v>284</v>
      </c>
      <c r="D31" s="262" t="s">
        <v>278</v>
      </c>
      <c r="E31" s="249" t="s">
        <v>312</v>
      </c>
      <c r="F31" s="288">
        <v>9999999</v>
      </c>
      <c r="G31" s="247">
        <v>300</v>
      </c>
      <c r="H31" s="245"/>
    </row>
    <row r="32" spans="1:8" ht="15.75" thickBot="1">
      <c r="A32" s="267" t="str">
        <f t="shared" si="0"/>
        <v>MACAS-Marsa Maroc-Plugging-40/45'ft</v>
      </c>
      <c r="B32" s="258" t="s">
        <v>279</v>
      </c>
      <c r="C32" s="256" t="s">
        <v>284</v>
      </c>
      <c r="D32" s="262" t="s">
        <v>278</v>
      </c>
      <c r="E32" s="249" t="s">
        <v>313</v>
      </c>
      <c r="F32" s="288">
        <v>9999999</v>
      </c>
      <c r="G32" s="247">
        <v>300</v>
      </c>
      <c r="H32" s="245"/>
    </row>
    <row r="33" spans="1:8" ht="15.75" thickBot="1">
      <c r="A33" s="267" t="str">
        <f t="shared" si="0"/>
        <v>MACAS-Marsa Maroc-Monitoring-20'ft</v>
      </c>
      <c r="B33" s="258" t="s">
        <v>279</v>
      </c>
      <c r="C33" s="256" t="s">
        <v>284</v>
      </c>
      <c r="D33" s="262" t="s">
        <v>283</v>
      </c>
      <c r="E33" s="249" t="s">
        <v>312</v>
      </c>
      <c r="F33" s="288">
        <v>9999999</v>
      </c>
      <c r="G33" s="247">
        <v>180</v>
      </c>
      <c r="H33" s="245"/>
    </row>
    <row r="34" spans="1:8" ht="15.75" thickBot="1">
      <c r="A34" s="267" t="str">
        <f t="shared" si="0"/>
        <v>MACAS-Marsa Maroc-Monitoring-40/45'ft</v>
      </c>
      <c r="B34" s="275" t="s">
        <v>279</v>
      </c>
      <c r="C34" s="260" t="s">
        <v>284</v>
      </c>
      <c r="D34" s="263" t="s">
        <v>283</v>
      </c>
      <c r="E34" s="277" t="s">
        <v>313</v>
      </c>
      <c r="F34" s="289">
        <v>9999999</v>
      </c>
      <c r="G34" s="269">
        <v>180</v>
      </c>
      <c r="H34" s="245"/>
    </row>
    <row r="35" spans="1:8">
      <c r="A35" s="267" t="str">
        <f t="shared" si="0"/>
        <v>Port -Terminals-Description-Equipment</v>
      </c>
      <c r="B35" s="526" t="s">
        <v>274</v>
      </c>
      <c r="C35" s="526" t="s">
        <v>275</v>
      </c>
      <c r="D35" s="520" t="s">
        <v>276</v>
      </c>
      <c r="E35" s="520" t="s">
        <v>294</v>
      </c>
      <c r="F35" s="520" t="s">
        <v>314</v>
      </c>
      <c r="G35" s="522" t="s">
        <v>295</v>
      </c>
      <c r="H35" s="245"/>
    </row>
    <row r="36" spans="1:8" ht="15.75" thickBot="1">
      <c r="A36" s="267" t="str">
        <f t="shared" si="0"/>
        <v/>
      </c>
      <c r="B36" s="521"/>
      <c r="C36" s="525"/>
      <c r="D36" s="526"/>
      <c r="E36" s="521"/>
      <c r="F36" s="521"/>
      <c r="G36" s="523"/>
      <c r="H36" s="245"/>
    </row>
    <row r="37" spans="1:8">
      <c r="A37" s="267" t="str">
        <f t="shared" si="0"/>
        <v>MAAGA-Agadir Terminal-Storage-x</v>
      </c>
      <c r="B37" s="255" t="s">
        <v>285</v>
      </c>
      <c r="C37" s="259" t="s">
        <v>286</v>
      </c>
      <c r="D37" s="261" t="s">
        <v>281</v>
      </c>
      <c r="E37" s="261" t="s">
        <v>288</v>
      </c>
      <c r="F37" s="250" t="s">
        <v>288</v>
      </c>
      <c r="G37" s="264" t="s">
        <v>282</v>
      </c>
      <c r="H37" s="245"/>
    </row>
    <row r="38" spans="1:8">
      <c r="A38" s="267" t="str">
        <f t="shared" si="0"/>
        <v>MAAGA-Agadir Terminal-Storage-x</v>
      </c>
      <c r="B38" s="256" t="s">
        <v>285</v>
      </c>
      <c r="C38" s="256" t="s">
        <v>286</v>
      </c>
      <c r="D38" s="262" t="s">
        <v>281</v>
      </c>
      <c r="E38" s="262" t="s">
        <v>288</v>
      </c>
      <c r="F38" s="251" t="s">
        <v>288</v>
      </c>
      <c r="G38" s="265" t="s">
        <v>282</v>
      </c>
      <c r="H38" s="245"/>
    </row>
    <row r="39" spans="1:8" ht="15.75" thickBot="1">
      <c r="A39" s="267" t="str">
        <f t="shared" si="0"/>
        <v>MAAGA-Agadir Terminal-Storage-x</v>
      </c>
      <c r="B39" s="256" t="s">
        <v>285</v>
      </c>
      <c r="C39" s="256" t="s">
        <v>286</v>
      </c>
      <c r="D39" s="262" t="s">
        <v>281</v>
      </c>
      <c r="E39" s="263" t="s">
        <v>288</v>
      </c>
      <c r="F39" s="251" t="s">
        <v>288</v>
      </c>
      <c r="G39" s="266" t="s">
        <v>282</v>
      </c>
      <c r="H39" s="245"/>
    </row>
    <row r="40" spans="1:8" ht="15.75" thickBot="1">
      <c r="A40" s="267" t="str">
        <f t="shared" si="0"/>
        <v>MAAGA-Agadir Terminal-Plugging &amp; Monitoring-20'ft</v>
      </c>
      <c r="B40" s="255" t="s">
        <v>285</v>
      </c>
      <c r="C40" s="255" t="s">
        <v>286</v>
      </c>
      <c r="D40" s="282" t="s">
        <v>287</v>
      </c>
      <c r="E40" s="268" t="s">
        <v>312</v>
      </c>
      <c r="F40" s="283">
        <v>9999999</v>
      </c>
      <c r="G40" s="269">
        <v>400</v>
      </c>
      <c r="H40" s="245"/>
    </row>
    <row r="41" spans="1:8" ht="15.75" thickBot="1">
      <c r="A41" s="267" t="str">
        <f t="shared" si="0"/>
        <v>MAAGA-Agadir Terminal-Plugging &amp; Monitoring-40/45'ft</v>
      </c>
      <c r="B41" s="260" t="s">
        <v>285</v>
      </c>
      <c r="C41" s="260" t="s">
        <v>286</v>
      </c>
      <c r="D41" s="248" t="s">
        <v>287</v>
      </c>
      <c r="E41" s="270" t="s">
        <v>313</v>
      </c>
      <c r="F41" s="284">
        <v>9999999</v>
      </c>
      <c r="G41" s="271">
        <v>400</v>
      </c>
      <c r="H41" s="245"/>
    </row>
  </sheetData>
  <mergeCells count="18">
    <mergeCell ref="B1:B2"/>
    <mergeCell ref="C1:C2"/>
    <mergeCell ref="D1:D2"/>
    <mergeCell ref="E1:E2"/>
    <mergeCell ref="B35:B36"/>
    <mergeCell ref="C35:C36"/>
    <mergeCell ref="D35:D36"/>
    <mergeCell ref="E35:E36"/>
    <mergeCell ref="B25:B26"/>
    <mergeCell ref="C25:C26"/>
    <mergeCell ref="D25:D26"/>
    <mergeCell ref="E25:E26"/>
    <mergeCell ref="F35:F36"/>
    <mergeCell ref="F1:F2"/>
    <mergeCell ref="G1:G2"/>
    <mergeCell ref="G25:G26"/>
    <mergeCell ref="G35:G36"/>
    <mergeCell ref="F25:F26"/>
  </mergeCells>
  <conditionalFormatting sqref="F5 F8">
    <cfRule type="expression" dxfId="27" priority="10">
      <formula>F5=9999999</formula>
    </cfRule>
  </conditionalFormatting>
  <conditionalFormatting sqref="F11 F14">
    <cfRule type="expression" dxfId="26" priority="9">
      <formula>F11=9999999</formula>
    </cfRule>
  </conditionalFormatting>
  <conditionalFormatting sqref="F16">
    <cfRule type="expression" dxfId="25" priority="2">
      <formula>F16=9999999</formula>
    </cfRule>
  </conditionalFormatting>
  <conditionalFormatting sqref="F18">
    <cfRule type="expression" dxfId="24" priority="8">
      <formula>F18=9999999</formula>
    </cfRule>
  </conditionalFormatting>
  <conditionalFormatting sqref="F20">
    <cfRule type="expression" dxfId="23" priority="1">
      <formula>F20=9999999</formula>
    </cfRule>
  </conditionalFormatting>
  <conditionalFormatting sqref="F22:F24">
    <cfRule type="expression" dxfId="22" priority="6">
      <formula>F22=9999999</formula>
    </cfRule>
  </conditionalFormatting>
  <conditionalFormatting sqref="F31:F34">
    <cfRule type="expression" dxfId="21" priority="4">
      <formula>F31=9999999</formula>
    </cfRule>
  </conditionalFormatting>
  <conditionalFormatting sqref="F40:F41">
    <cfRule type="expression" dxfId="20" priority="3">
      <formula>F40=9999999</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9DC01-0AE5-4B87-9E0D-4D88F8256A31}">
  <sheetPr codeName="Sheet6">
    <tabColor theme="4" tint="0.39997558519241921"/>
  </sheetPr>
  <dimension ref="C1:Z740"/>
  <sheetViews>
    <sheetView showGridLines="0" showRowColHeaders="0" zoomScale="80" zoomScaleNormal="80" workbookViewId="0">
      <selection activeCell="G17" sqref="G17"/>
    </sheetView>
  </sheetViews>
  <sheetFormatPr defaultColWidth="8.85546875" defaultRowHeight="15"/>
  <cols>
    <col min="1" max="1" width="5.28515625" style="101" customWidth="1"/>
    <col min="2" max="2" width="6.5703125" style="101" customWidth="1"/>
    <col min="3" max="3" width="19.28515625" style="101" customWidth="1"/>
    <col min="4" max="4" width="18.85546875" style="101" customWidth="1"/>
    <col min="5" max="7" width="22.28515625" style="101" customWidth="1"/>
    <col min="8" max="8" width="23.42578125" style="101" customWidth="1"/>
    <col min="9" max="20" width="22.28515625" style="101" customWidth="1"/>
    <col min="21" max="22" width="22.28515625" style="101" hidden="1" customWidth="1"/>
    <col min="23" max="23" width="8.85546875" style="101" hidden="1" customWidth="1"/>
    <col min="24" max="24" width="20.42578125" style="101" hidden="1" customWidth="1"/>
    <col min="25" max="26" width="8.85546875" style="101" hidden="1" customWidth="1"/>
    <col min="27" max="27" width="8.85546875" style="101" customWidth="1"/>
    <col min="28" max="16384" width="8.85546875" style="101"/>
  </cols>
  <sheetData>
    <row r="1" spans="3:25" ht="18.75" customHeight="1">
      <c r="C1" s="538" t="s">
        <v>229</v>
      </c>
      <c r="D1" s="538"/>
      <c r="E1" s="538"/>
      <c r="F1" s="538"/>
      <c r="G1" s="538"/>
      <c r="H1" s="538"/>
      <c r="I1" s="538"/>
      <c r="J1" s="538"/>
      <c r="K1" s="538"/>
      <c r="L1" s="538"/>
      <c r="M1" s="538"/>
      <c r="N1" s="538"/>
      <c r="O1" s="538"/>
    </row>
    <row r="2" spans="3:25" ht="18.75" customHeight="1">
      <c r="C2" s="538"/>
      <c r="D2" s="538"/>
      <c r="E2" s="538"/>
      <c r="F2" s="538"/>
      <c r="G2" s="538"/>
      <c r="H2" s="538"/>
      <c r="I2" s="538"/>
      <c r="J2" s="538"/>
      <c r="K2" s="538"/>
      <c r="L2" s="538"/>
      <c r="M2" s="538"/>
      <c r="N2" s="538"/>
      <c r="O2" s="538"/>
    </row>
    <row r="3" spans="3:25" ht="18.75" customHeight="1">
      <c r="C3" s="538"/>
      <c r="D3" s="538"/>
      <c r="E3" s="538"/>
      <c r="F3" s="538"/>
      <c r="G3" s="538"/>
      <c r="H3" s="538"/>
      <c r="I3" s="538"/>
      <c r="J3" s="538"/>
      <c r="K3" s="538"/>
      <c r="L3" s="538"/>
      <c r="M3" s="538"/>
      <c r="N3" s="538"/>
      <c r="O3" s="538"/>
    </row>
    <row r="4" spans="3:25" ht="16.5" customHeight="1">
      <c r="F4" s="547" t="s">
        <v>222</v>
      </c>
      <c r="G4" s="547"/>
      <c r="H4" s="547"/>
      <c r="I4" s="547"/>
      <c r="J4" s="547"/>
      <c r="K4" s="547"/>
      <c r="L4" s="547"/>
    </row>
    <row r="5" spans="3:25" ht="16.5" customHeight="1">
      <c r="F5" s="547"/>
      <c r="G5" s="547"/>
      <c r="H5" s="547"/>
      <c r="I5" s="547"/>
      <c r="J5" s="547"/>
      <c r="K5" s="547"/>
      <c r="L5" s="547"/>
    </row>
    <row r="6" spans="3:25" ht="18.75" customHeight="1"/>
    <row r="7" spans="3:25" ht="18.75" customHeight="1">
      <c r="L7" s="553" t="s">
        <v>249</v>
      </c>
      <c r="M7" s="553"/>
      <c r="N7" s="554">
        <v>1</v>
      </c>
    </row>
    <row r="8" spans="3:25" ht="30" customHeight="1">
      <c r="C8" s="532" t="s">
        <v>147</v>
      </c>
      <c r="D8" s="534" t="s">
        <v>239</v>
      </c>
      <c r="F8" s="548" t="s">
        <v>148</v>
      </c>
      <c r="G8" s="549"/>
      <c r="H8" s="549"/>
      <c r="I8" s="549"/>
      <c r="J8" s="550"/>
      <c r="L8" s="553"/>
      <c r="M8" s="553"/>
      <c r="N8" s="554"/>
    </row>
    <row r="9" spans="3:25" ht="40.5" customHeight="1" thickBot="1">
      <c r="C9" s="532"/>
      <c r="D9" s="534"/>
      <c r="F9" s="161" t="s">
        <v>150</v>
      </c>
      <c r="G9" s="213" t="s">
        <v>239</v>
      </c>
      <c r="H9" s="222" t="s">
        <v>151</v>
      </c>
      <c r="I9" s="223" t="str">
        <f>IFERROR(IF($G$32&lt;0,0,$G$32),"ERROR")</f>
        <v>ERROR</v>
      </c>
      <c r="J9" s="224" t="str">
        <f>IFERROR($E$61,"not valid")</f>
        <v>not valid</v>
      </c>
    </row>
    <row r="10" spans="3:25" ht="40.5" customHeight="1">
      <c r="C10" s="533"/>
      <c r="D10" s="535"/>
      <c r="F10" s="161" t="s">
        <v>153</v>
      </c>
      <c r="G10" s="213" t="s">
        <v>239</v>
      </c>
      <c r="H10" s="233" t="s">
        <v>254</v>
      </c>
      <c r="I10" s="228" t="str">
        <f>IFERROR(IF(($G$32-$F$32)&lt;0,0,($G$32-$F$32)),"ERROR")</f>
        <v>ERROR</v>
      </c>
      <c r="J10" s="229" t="str">
        <f>IFERROR($E$61,"not valid")</f>
        <v>not valid</v>
      </c>
      <c r="L10" s="541" t="s">
        <v>160</v>
      </c>
      <c r="M10" s="542"/>
      <c r="N10" s="542"/>
      <c r="O10" s="543"/>
      <c r="V10" s="101" t="s">
        <v>239</v>
      </c>
      <c r="W10" s="101" t="s">
        <v>239</v>
      </c>
      <c r="X10" s="101" t="s">
        <v>239</v>
      </c>
    </row>
    <row r="11" spans="3:25" ht="30" customHeight="1">
      <c r="C11" s="539" t="s">
        <v>155</v>
      </c>
      <c r="D11" s="540" t="s">
        <v>239</v>
      </c>
      <c r="F11" s="162" t="s">
        <v>156</v>
      </c>
      <c r="G11" s="163">
        <f>IF(OR(G9="&lt;make selection&gt;",G10="&lt;make selection&gt;"),0,IF(G10-G9+1&lt;0,0,G10-G9+1))</f>
        <v>0</v>
      </c>
      <c r="H11" s="536" t="s">
        <v>262</v>
      </c>
      <c r="I11" s="537"/>
      <c r="J11" s="214">
        <f>J12</f>
        <v>0</v>
      </c>
      <c r="L11" s="544"/>
      <c r="M11" s="545"/>
      <c r="N11" s="545"/>
      <c r="O11" s="546"/>
      <c r="V11" s="37">
        <v>44927</v>
      </c>
      <c r="W11" s="102" t="s">
        <v>8</v>
      </c>
      <c r="X11" s="102" t="s">
        <v>142</v>
      </c>
      <c r="Y11" s="102"/>
    </row>
    <row r="12" spans="3:25" ht="29.45" customHeight="1">
      <c r="C12" s="532"/>
      <c r="D12" s="534"/>
      <c r="H12" s="551" t="s">
        <v>227</v>
      </c>
      <c r="I12" s="552"/>
      <c r="J12" s="164">
        <f>$C$34</f>
        <v>0</v>
      </c>
      <c r="L12" s="544"/>
      <c r="M12" s="545"/>
      <c r="N12" s="545"/>
      <c r="O12" s="546"/>
      <c r="V12" s="37">
        <v>44928</v>
      </c>
      <c r="W12" s="117" t="s">
        <v>55</v>
      </c>
      <c r="X12" s="102" t="s">
        <v>143</v>
      </c>
      <c r="Y12" s="102"/>
    </row>
    <row r="13" spans="3:25" ht="40.5" customHeight="1">
      <c r="C13" s="532"/>
      <c r="D13" s="534"/>
      <c r="L13" s="568" t="s">
        <v>251</v>
      </c>
      <c r="M13" s="569"/>
      <c r="N13" s="570" t="str">
        <f>IFERROR($D$31+$D$37+$D$43,"ERROR")</f>
        <v>ERROR</v>
      </c>
      <c r="O13" s="571" t="str">
        <f>IFERROR(H61,"not valid")</f>
        <v>not valid</v>
      </c>
      <c r="V13" s="37">
        <v>44929</v>
      </c>
      <c r="W13" s="117" t="s">
        <v>10</v>
      </c>
      <c r="X13" s="102" t="s">
        <v>144</v>
      </c>
      <c r="Y13" s="102"/>
    </row>
    <row r="14" spans="3:25" ht="30" customHeight="1">
      <c r="F14" s="580" t="s">
        <v>158</v>
      </c>
      <c r="G14" s="581"/>
      <c r="H14" s="581"/>
      <c r="I14" s="581"/>
      <c r="J14" s="582"/>
      <c r="L14" s="568"/>
      <c r="M14" s="569"/>
      <c r="N14" s="570"/>
      <c r="O14" s="571"/>
      <c r="V14" s="37">
        <v>44930</v>
      </c>
      <c r="W14" s="117" t="s">
        <v>57</v>
      </c>
      <c r="X14" s="102" t="s">
        <v>145</v>
      </c>
      <c r="Y14" s="102"/>
    </row>
    <row r="15" spans="3:25" ht="40.5" customHeight="1">
      <c r="F15" s="161" t="s">
        <v>150</v>
      </c>
      <c r="G15" s="206" t="str">
        <f>$G$9</f>
        <v>&lt;make selection&gt;</v>
      </c>
      <c r="H15" s="225" t="s">
        <v>159</v>
      </c>
      <c r="I15" s="226" t="str">
        <f>IFERROR(IF($G$38&lt;0,0,$G$38),"ERROR")</f>
        <v>ERROR</v>
      </c>
      <c r="J15" s="227" t="str">
        <f>IFERROR($E$61,"not valid")</f>
        <v>not valid</v>
      </c>
      <c r="L15" s="572" t="s">
        <v>252</v>
      </c>
      <c r="M15" s="573"/>
      <c r="N15" s="576" t="str">
        <f>IFERROR(IF(OR($D$32+$D$38+$D$44&gt;N13,$D$32+$D$38+$D$44=N13),"----",$D$32+$D$38+$D$44),"ERROR")</f>
        <v>ERROR</v>
      </c>
      <c r="O15" s="578" t="str">
        <f>IFERROR(IF(N15="----","----",H61),"not valid")</f>
        <v>not valid</v>
      </c>
      <c r="V15" s="37">
        <v>44931</v>
      </c>
      <c r="W15" s="117"/>
      <c r="X15" s="102" t="s">
        <v>146</v>
      </c>
      <c r="Y15" s="102"/>
    </row>
    <row r="16" spans="3:25" ht="40.5" customHeight="1">
      <c r="F16" s="161" t="s">
        <v>153</v>
      </c>
      <c r="G16" s="206" t="str">
        <f>$G$10</f>
        <v>&lt;make selection&gt;</v>
      </c>
      <c r="H16" s="233" t="s">
        <v>256</v>
      </c>
      <c r="I16" s="228" t="str">
        <f>IFERROR(IF(($G$38-$F$38)&lt;0,0,($G$38-$F$38)),"ERROR")</f>
        <v>ERROR</v>
      </c>
      <c r="J16" s="229" t="str">
        <f>IFERROR($E$61,"not valid")</f>
        <v>not valid</v>
      </c>
      <c r="L16" s="574"/>
      <c r="M16" s="575"/>
      <c r="N16" s="577"/>
      <c r="O16" s="579"/>
      <c r="V16" s="37">
        <v>44932</v>
      </c>
      <c r="W16" s="117"/>
      <c r="X16" s="101" t="s">
        <v>149</v>
      </c>
      <c r="Y16" s="102"/>
    </row>
    <row r="17" spans="3:25" ht="29.45" customHeight="1" thickBot="1">
      <c r="F17" s="162" t="s">
        <v>161</v>
      </c>
      <c r="G17" s="163">
        <f>IF(OR(G9="&lt;make selection&gt;",G10="&lt;make selection&gt;"),0,IF(G10-G9+1&lt;0,0,G10-G9+1))</f>
        <v>0</v>
      </c>
      <c r="H17" s="536" t="s">
        <v>260</v>
      </c>
      <c r="I17" s="537"/>
      <c r="J17" s="214">
        <f>J18</f>
        <v>0</v>
      </c>
      <c r="L17" s="529" t="str">
        <f>IF(AND(G23-J23&gt;0,G23-J23&lt;11), G23-J23&amp;" days of ADFT cost in case purchasing (max 10 days):", "10 days of ADFT cost in case purchasing (max 10 days):")</f>
        <v>10 days of ADFT cost in case purchasing (max 10 days):</v>
      </c>
      <c r="M17" s="530"/>
      <c r="N17" s="215" t="str">
        <f>IFERROR(N7*IF(RIGHT($D$11,7)="General",
IF(AND($G$23&gt;$J$23,OR($D$11=$W$11,$D$11=$W$12)),
IF($G$23-$J$23&gt;10,
INT(IF($D$11=$W$11,
INDEX('ADFT Tariffs'!G2:G1048576,MATCH("Italy, Spain, Portugal",'ADFT Tariffs'!B2:B1048576,0)),
INDEX('ADFT Tariffs'!H2:H1048576,MATCH("Italy, Spain, Portugal",'ADFT Tariffs'!B2:B1048576,0))))*10,
INT(IF($D$11=$W$11,
INDEX('ADFT Tariffs'!G2:G1048576,MATCH("Italy, Spain, Portugal",'ADFT Tariffs'!B2:B1048576,0)),
INDEX('ADFT Tariffs'!H2:H1048576,MATCH("Italy, Spain, Portugal",'ADFT Tariffs'!B2:B1048576,0))))*($G$23-$J$23)),"0"),
"not valid"),"not valid")</f>
        <v>not valid</v>
      </c>
      <c r="O17" s="216" t="str">
        <f>IF(N18="not valid","not valid",H61)</f>
        <v>not valid</v>
      </c>
      <c r="V17" s="37">
        <v>44933</v>
      </c>
      <c r="W17" s="117"/>
      <c r="X17" s="102" t="s">
        <v>152</v>
      </c>
      <c r="Y17" s="102"/>
    </row>
    <row r="18" spans="3:25" ht="29.45" customHeight="1" thickBot="1">
      <c r="H18" s="551" t="s">
        <v>225</v>
      </c>
      <c r="I18" s="552"/>
      <c r="J18" s="164">
        <f>$C$40</f>
        <v>0</v>
      </c>
      <c r="L18" s="583" t="s">
        <v>246</v>
      </c>
      <c r="M18" s="584"/>
      <c r="N18" s="210" t="str">
        <f>IFERROR(I10+I16+N21,"not valid")</f>
        <v>not valid</v>
      </c>
      <c r="O18" s="211" t="str">
        <f>IF(N18="not valid","not valid",H61)</f>
        <v>not valid</v>
      </c>
      <c r="V18" s="37">
        <v>44934</v>
      </c>
      <c r="W18" s="117"/>
      <c r="X18" s="101" t="s">
        <v>154</v>
      </c>
      <c r="Y18" s="102"/>
    </row>
    <row r="19" spans="3:25" ht="29.45" customHeight="1" thickBot="1">
      <c r="L19" s="585" t="s">
        <v>224</v>
      </c>
      <c r="M19" s="586"/>
      <c r="N19" s="217" t="str">
        <f>IFERROR($D$32+$D$38+$D$44-N18,"not valid")</f>
        <v>not valid</v>
      </c>
      <c r="O19" s="218" t="str">
        <f>IF(N18="not valid","not valid",H61)</f>
        <v>not valid</v>
      </c>
      <c r="V19" s="37">
        <v>44935</v>
      </c>
      <c r="W19" s="102"/>
      <c r="X19" s="101" t="s">
        <v>157</v>
      </c>
      <c r="Y19" s="102"/>
    </row>
    <row r="20" spans="3:25" ht="23.45" customHeight="1">
      <c r="F20" s="567" t="s">
        <v>162</v>
      </c>
      <c r="G20" s="567"/>
      <c r="H20" s="567"/>
      <c r="I20" s="567"/>
      <c r="J20" s="567"/>
      <c r="V20" s="37">
        <v>44936</v>
      </c>
      <c r="W20" s="102"/>
      <c r="Y20" s="102"/>
    </row>
    <row r="21" spans="3:25" ht="40.5" customHeight="1">
      <c r="F21" s="161" t="s">
        <v>153</v>
      </c>
      <c r="G21" s="206" t="str">
        <f>$G$10</f>
        <v>&lt;make selection&gt;</v>
      </c>
      <c r="H21" s="230" t="s">
        <v>163</v>
      </c>
      <c r="I21" s="231">
        <f>IFERROR(IF($G$44&lt;0,0,$G$44),"ERROR")</f>
        <v>0</v>
      </c>
      <c r="J21" s="232" t="str">
        <f>$E$54</f>
        <v>EUR</v>
      </c>
      <c r="L21" s="531" t="str">
        <f>IF(G23-J23&lt;11,"Total cost of detention after "&amp;G23-J23&amp;" days purchase of ADFT total cost:", "Total cost after 10 days purchase of ADFT:")</f>
        <v>Total cost of detention after 0 days purchase of ADFT total cost:</v>
      </c>
      <c r="M21" s="531"/>
      <c r="N21" s="212" t="str">
        <f>IFERROR(D44-I44+N17,"not valid")</f>
        <v>not valid</v>
      </c>
      <c r="O21" s="212" t="str">
        <f>IF(N18="not valid","not valid",H61)</f>
        <v>not valid</v>
      </c>
      <c r="V21" s="37">
        <v>44937</v>
      </c>
      <c r="W21" s="117"/>
      <c r="X21" s="102"/>
      <c r="Y21" s="102"/>
    </row>
    <row r="22" spans="3:25" ht="40.5" customHeight="1">
      <c r="F22" s="161" t="s">
        <v>164</v>
      </c>
      <c r="G22" s="213" t="s">
        <v>239</v>
      </c>
      <c r="H22" s="233" t="s">
        <v>255</v>
      </c>
      <c r="I22" s="228">
        <f>IFERROR(IF(($G$44-$F$44)&lt;0,0,($G$44-$F$44)),"ERROR")</f>
        <v>0</v>
      </c>
      <c r="J22" s="229" t="str">
        <f>$E$37</f>
        <v>EUR</v>
      </c>
      <c r="L22" s="443" t="str">
        <f>"We recommend you to purchase additional freetime to your booking via below link."</f>
        <v>We recommend you to purchase additional freetime to your booking via below link.</v>
      </c>
      <c r="M22" s="443"/>
      <c r="N22" s="443"/>
      <c r="O22" s="443"/>
      <c r="V22" s="37">
        <v>44938</v>
      </c>
      <c r="W22" s="102"/>
      <c r="Y22" s="102"/>
    </row>
    <row r="23" spans="3:25" ht="27.6" customHeight="1">
      <c r="F23" s="162" t="s">
        <v>165</v>
      </c>
      <c r="G23" s="163">
        <f>IF(OR(G22="&lt;make selection&gt;",G21="&lt;make selection&gt;"),0,IF(G22-G21+1&lt;0,0,G22-G21+1))</f>
        <v>0</v>
      </c>
      <c r="H23" s="536" t="s">
        <v>261</v>
      </c>
      <c r="I23" s="537"/>
      <c r="J23" s="214">
        <f>J24</f>
        <v>0</v>
      </c>
      <c r="L23" s="527" t="str">
        <f>IF(L22="","","https://solutions.hapag-lloyd.com/navigator/#/dashboard")</f>
        <v>https://solutions.hapag-lloyd.com/navigator/#/dashboard</v>
      </c>
      <c r="M23" s="528"/>
      <c r="N23" s="528"/>
      <c r="O23" s="528"/>
      <c r="V23" s="37">
        <v>44939</v>
      </c>
      <c r="W23" s="102"/>
      <c r="Y23" s="102"/>
    </row>
    <row r="24" spans="3:25" ht="29.45" customHeight="1">
      <c r="H24" s="551" t="s">
        <v>226</v>
      </c>
      <c r="I24" s="552"/>
      <c r="J24" s="164">
        <f>$C$46</f>
        <v>0</v>
      </c>
      <c r="V24" s="37">
        <v>44940</v>
      </c>
      <c r="W24" s="102"/>
      <c r="X24" s="102"/>
      <c r="Y24" s="102"/>
    </row>
    <row r="25" spans="3:25" ht="23.45" customHeight="1" thickBot="1">
      <c r="K25" s="116"/>
      <c r="V25" s="37">
        <v>44941</v>
      </c>
      <c r="W25" s="102"/>
      <c r="X25" s="102"/>
      <c r="Y25" s="102"/>
    </row>
    <row r="26" spans="3:25" ht="29.45" customHeight="1">
      <c r="C26" s="47" t="s">
        <v>242</v>
      </c>
      <c r="V26" s="37">
        <v>44942</v>
      </c>
      <c r="W26" s="102"/>
      <c r="X26" s="102"/>
      <c r="Y26" s="102"/>
    </row>
    <row r="27" spans="3:25" ht="29.45" customHeight="1">
      <c r="C27" s="436" t="s">
        <v>134</v>
      </c>
      <c r="D27" s="436"/>
      <c r="E27" s="436"/>
      <c r="F27" s="436"/>
      <c r="G27" s="436"/>
      <c r="V27" s="37">
        <v>44943</v>
      </c>
      <c r="W27" s="102"/>
      <c r="X27" s="102"/>
      <c r="Y27" s="102"/>
    </row>
    <row r="28" spans="3:25" ht="29.45" customHeight="1">
      <c r="C28" s="47" t="s">
        <v>243</v>
      </c>
      <c r="V28" s="37">
        <v>44944</v>
      </c>
      <c r="W28" s="102"/>
      <c r="X28" s="102"/>
      <c r="Y28" s="102"/>
    </row>
    <row r="29" spans="3:25" ht="29.45" hidden="1" customHeight="1">
      <c r="V29" s="37">
        <v>44945</v>
      </c>
      <c r="W29" s="102"/>
      <c r="X29" s="102"/>
      <c r="Y29" s="102"/>
    </row>
    <row r="30" spans="3:25" ht="27" hidden="1" customHeight="1" thickBot="1">
      <c r="V30" s="37">
        <v>44946</v>
      </c>
      <c r="W30" s="102"/>
      <c r="X30" s="102"/>
      <c r="Y30" s="102"/>
    </row>
    <row r="31" spans="3:25" ht="25.5" hidden="1" customHeight="1" thickBot="1">
      <c r="C31" s="105" t="s">
        <v>166</v>
      </c>
      <c r="D31" s="106" t="e">
        <f>IF($G$32&lt;0,0,$G$32)</f>
        <v>#N/A</v>
      </c>
      <c r="E31" s="107" t="e">
        <f>$E$61</f>
        <v>#N/A</v>
      </c>
      <c r="F31" s="101" t="s">
        <v>16</v>
      </c>
      <c r="G31" s="101" t="s">
        <v>17</v>
      </c>
      <c r="V31" s="37">
        <v>44947</v>
      </c>
      <c r="W31" s="102"/>
      <c r="X31" s="102"/>
      <c r="Y31" s="102"/>
    </row>
    <row r="32" spans="3:25" ht="26.25" hidden="1" customHeight="1" thickBot="1">
      <c r="C32" s="105" t="s">
        <v>167</v>
      </c>
      <c r="D32" s="106" t="e">
        <f>IF(($G$32-$F$32)&lt;0,0,($G$32-$F$32))</f>
        <v>#N/A</v>
      </c>
      <c r="E32" s="107" t="e">
        <f>$E$31</f>
        <v>#N/A</v>
      </c>
      <c r="F32" s="101" t="e">
        <f>IF(IF(($J$11-C34)&lt;=D34,($J$11-C34)*D35,IF(($J$11-C34-D34)&lt;=E34,(($J$11-C34-D34)*E35+D34*D35),IF(($J$11-C34-D34-E34)&lt;=F34,(($J$11-C34-D34-E34)*F35+D34*D35+E34*E35),IF(($J$11-C34-D34-E34-F34)&lt;=G34,(($J$11-C34-D34-E34-F34)*G35+D34*D35+E34*E35+F34*F35),(D34*D35+E34*E35+F34*F35+G34*G35+H35*($J$11-C34-D34-E34-F34-G34))))))&lt;0,0,IF(($J$11-C34)&lt;=D34,($J$11-C34)*D35,IF(($J$11-C34-D34)&lt;=E34,(($J$11-C34-D34)*E35+D34*D35),IF(($J$11-C34-D34-E34)&lt;=F34,(($J$11-C34-D34-E34)*F35+D34*D35+E34*E35),IF(($J$11-C34-D34-E34-F34)&lt;=G34,(($J$11-C34-D34-E34-F34)*G35+D34*D35+E34*E35+F34*F35),(D34*D35+E34*E35+F34*F35+G34*G35+H35*($J$11-C34-D34-E34-F34-G34)))))))</f>
        <v>#N/A</v>
      </c>
      <c r="G32" s="101" t="e">
        <f>IF(($G$11-C34)&lt;=D34,($G$11-C34)*D35,IF(($G$11-C34-D34)&lt;=E34,(($G$11-C34-D34)*E35+D34*D35),IF(($G$11-C34-D34-E34)&lt;=F34,(($G$11-C34-D34-E34)*F35+D34*D35+E34*E35),IF(($G$11-C34-D34-E34-F34)&lt;=G34,(($G$11-C34-D34-E34-F34)*G35+D34*D35+E34*E35+F34*F35),(D34*D35+E34*E35+F34*F35+G34*G35+H35*($G$11-C34-D34-E34-F34-G34))))))</f>
        <v>#N/A</v>
      </c>
      <c r="H32" s="101" t="e">
        <f>G32-F32</f>
        <v>#N/A</v>
      </c>
      <c r="V32" s="37">
        <v>44948</v>
      </c>
      <c r="W32" s="102"/>
      <c r="X32" s="102"/>
      <c r="Y32" s="102"/>
    </row>
    <row r="33" spans="3:26" ht="23.25" hidden="1" customHeight="1">
      <c r="C33" s="108" t="s">
        <v>168</v>
      </c>
      <c r="D33" s="108" t="s">
        <v>13</v>
      </c>
      <c r="E33" s="108" t="s">
        <v>14</v>
      </c>
      <c r="F33" s="109" t="s">
        <v>169</v>
      </c>
      <c r="G33" s="110" t="s">
        <v>170</v>
      </c>
      <c r="H33" s="111" t="s">
        <v>171</v>
      </c>
      <c r="V33" s="37">
        <v>44949</v>
      </c>
      <c r="W33" s="102"/>
      <c r="X33" s="102"/>
      <c r="Y33" s="102"/>
    </row>
    <row r="34" spans="3:26" ht="18.75" hidden="1">
      <c r="C34" s="112">
        <f>IFERROR(INDEX($C$60:$O$65,1,MATCH($D$11,$C$58:$O$58,0)),0)</f>
        <v>0</v>
      </c>
      <c r="D34" s="112" t="e">
        <f>INDEX($C$60:$U$65,2,MATCH($D$11,$C$58:$U$58,0))</f>
        <v>#N/A</v>
      </c>
      <c r="E34" s="112" t="e">
        <f>INDEX($C$60:$U$65,3,MATCH($D$11,$C$58:$U$58,0))</f>
        <v>#N/A</v>
      </c>
      <c r="F34" s="112" t="e">
        <f>INDEX($C$60:$U$65,4,MATCH($D$11,$C$58:$U$58,0))</f>
        <v>#N/A</v>
      </c>
      <c r="G34" s="112" t="e">
        <f>INDEX($C$60:$U$65,5,MATCH($D$11,$C$58:$U$58,0))</f>
        <v>#N/A</v>
      </c>
      <c r="H34" s="112" t="e">
        <f>INDEX($C$60:$U$65,6,MATCH($D$11,$C$58:$U$58,0))</f>
        <v>#N/A</v>
      </c>
      <c r="V34" s="37">
        <v>44950</v>
      </c>
      <c r="W34" s="102"/>
      <c r="X34" s="102"/>
      <c r="Y34" s="102"/>
    </row>
    <row r="35" spans="3:26" ht="52.5" hidden="1" customHeight="1">
      <c r="C35" s="112" t="e">
        <f>INDEX($C$60:$U$65,1,MATCH($D$11,$C$58:$U$58,0)+2)</f>
        <v>#N/A</v>
      </c>
      <c r="D35" s="112" t="e">
        <f>INDEX($C$60:$U$65,2,MATCH($D$11,$C$58:$U$58,0)+2)</f>
        <v>#N/A</v>
      </c>
      <c r="E35" s="112" t="e">
        <f>INDEX($C$60:$U$65,3,MATCH($D$11,$C$58:$U$58,0)+2)</f>
        <v>#N/A</v>
      </c>
      <c r="F35" s="112" t="e">
        <f>INDEX($C$60:$U$65,4,MATCH($D$11,$C$58:$U$58,0)+2)</f>
        <v>#N/A</v>
      </c>
      <c r="G35" s="112" t="e">
        <f>INDEX($C$60:$U$65,5,MATCH($D$11,$C$58:$U$58,0)+2)</f>
        <v>#N/A</v>
      </c>
      <c r="H35" s="112" t="e">
        <f>INDEX($C$60:$U$65,6,MATCH($D$11,$C$58:$U$58,0)+2)</f>
        <v>#N/A</v>
      </c>
      <c r="V35" s="37">
        <v>44951</v>
      </c>
      <c r="W35" s="102"/>
      <c r="X35" s="102"/>
      <c r="Y35" s="102"/>
      <c r="Z35" s="102"/>
    </row>
    <row r="36" spans="3:26" ht="19.5" hidden="1" thickBot="1">
      <c r="V36" s="37">
        <v>44952</v>
      </c>
      <c r="W36" s="102"/>
      <c r="X36" s="102"/>
      <c r="Y36" s="102"/>
      <c r="Z36" s="102"/>
    </row>
    <row r="37" spans="3:26" ht="23.25" hidden="1" thickBot="1">
      <c r="C37" s="105" t="s">
        <v>172</v>
      </c>
      <c r="D37" s="106" t="e">
        <f>IF($G$38&lt;0,0,$G$38)</f>
        <v>#N/A</v>
      </c>
      <c r="E37" s="107" t="str">
        <f>$E$54</f>
        <v>EUR</v>
      </c>
      <c r="F37" s="103"/>
      <c r="G37" s="103"/>
      <c r="H37" s="103"/>
      <c r="I37" s="103"/>
      <c r="J37" s="103"/>
      <c r="K37" s="103"/>
      <c r="V37" s="37">
        <v>44953</v>
      </c>
      <c r="W37" s="102"/>
      <c r="X37" s="102"/>
      <c r="Y37" s="102"/>
      <c r="Z37" s="102"/>
    </row>
    <row r="38" spans="3:26" ht="24.75" hidden="1" thickBot="1">
      <c r="C38" s="113" t="s">
        <v>173</v>
      </c>
      <c r="D38" s="106" t="e">
        <f>IF(($G$38-$F$38)&lt;0,0,($G$38-$F$38))</f>
        <v>#N/A</v>
      </c>
      <c r="E38" s="107" t="str">
        <f>$E$37</f>
        <v>EUR</v>
      </c>
      <c r="F38" s="101" t="e">
        <f>IF(IF(($J$17-C40)&lt;=D40,($J$17-C40)*D41,IF(($J$17-C40-D40)&lt;=E40,(($J$17-C40-D40)*E41+D40*D41),IF(($J$17-C40-D40-E40)&lt;=F40,(($J$17-C40-D40-E40)*F41+D40*D41+E40*E41),IF(($J$17-C40-D40-E40-F40)&lt;=G40,(($J$17-C40-D40-E40-F40)*G41+D40*D41+E40*E41+F40*F41),(D40*D41+E40*E41+F40*F41+G40*G41+H41*($J$17-C40-D40-E40-F40-G40))))))&lt;0,0,IF(($J$17-C40)&lt;=D40,($J$17-C40)*D41,IF(($J$17-C40-D40)&lt;=E40,(($J$17-C40-D40)*E41+D40*D41),IF(($J$17-C40-D40-E40)&lt;=F40,(($J$17-C40-D40-E40)*F41+D40*D41+E40*E41),IF(($J$17-C40-D40-E40-F40)&lt;=G40,(($J$17-C40-D40-E40-F40)*G41+D40*D41+E40*E41+F40*F41),(D40*D41+E40*E41+F40*F41+G40*G41+H41*($J$17-C40-D40-E40-F40-G40)))))))</f>
        <v>#N/A</v>
      </c>
      <c r="G38" s="101" t="e">
        <f>IF(($G$17-C40)&lt;=D40,($G$17-C40)*D41,IF(($G$17-C40-D40)&lt;=E40,(($G$17-C40-D40)*E41+D40*D41),IF(($G$17-C40-D40-E40)&lt;=F40,(($G$17-C40-D40-E40)*F41+D40*D41+E40*E41),IF(($G$17-C40-D40-E40-F40)&lt;=G40,(($G$17-C40-D40-E40-F40)*G41+D40*D41+E40*E41+F40*F41),(D40*D41+E40*E41+F40*F41+G40*G41+H41*($G$17-C40-D40-E40-F40-G40))))))</f>
        <v>#N/A</v>
      </c>
      <c r="H38" s="101" t="e">
        <f>G38-F38</f>
        <v>#N/A</v>
      </c>
      <c r="I38" s="103"/>
      <c r="J38" s="103"/>
      <c r="K38" s="103"/>
      <c r="V38" s="37">
        <v>44954</v>
      </c>
      <c r="W38" s="102"/>
      <c r="X38" s="102"/>
      <c r="Y38" s="102"/>
      <c r="Z38" s="102"/>
    </row>
    <row r="39" spans="3:26" ht="14.45" hidden="1" customHeight="1">
      <c r="C39" s="110" t="s">
        <v>174</v>
      </c>
      <c r="D39" s="111" t="s">
        <v>13</v>
      </c>
      <c r="E39" s="114" t="s">
        <v>14</v>
      </c>
      <c r="F39" s="111" t="s">
        <v>169</v>
      </c>
      <c r="V39" s="37">
        <v>44955</v>
      </c>
      <c r="X39" s="102"/>
    </row>
    <row r="40" spans="3:26" ht="14.45" hidden="1" customHeight="1">
      <c r="C40" s="108">
        <f>IFERROR(INDEX($C$53:$U$56,1,MATCH($D$11,$C$51:$U$51,0)),0)</f>
        <v>0</v>
      </c>
      <c r="D40" s="108" t="e">
        <f>INDEX($C$53:$U$56,2,MATCH($D$11,$C$51:$U$51,0))</f>
        <v>#N/A</v>
      </c>
      <c r="E40" s="115" t="e">
        <f>INDEX($C$53:$U$56,3,MATCH($D$11,$C$51:$U$51,0))</f>
        <v>#N/A</v>
      </c>
      <c r="F40" s="111" t="e">
        <f>INDEX($C$53:$U$56,4,MATCH($D$11,$C$51:$U$51,0))</f>
        <v>#N/A</v>
      </c>
      <c r="V40" s="37">
        <v>44956</v>
      </c>
      <c r="X40" s="102"/>
    </row>
    <row r="41" spans="3:26" ht="14.45" hidden="1" customHeight="1">
      <c r="C41" s="112" t="e" cm="1">
        <f t="array" ref="C41">INDEX($C$53:$U$56,1,MATCH($D$11,$C$51:$U$51,0)+2)</f>
        <v>#N/A</v>
      </c>
      <c r="D41" s="112" t="e" cm="1">
        <f t="array" ref="D41">INDEX($C$53:$U$56,2,MATCH($D$11,$C$51:$U$51,0)+2)</f>
        <v>#N/A</v>
      </c>
      <c r="E41" s="109" t="e" cm="1">
        <f t="array" ref="E41">INDEX($C$53:$U$56,3,MATCH($D$11,$C$51:$U$51,0)+2)</f>
        <v>#N/A</v>
      </c>
      <c r="F41" s="111" t="e" cm="1">
        <f t="array" ref="F41">INDEX($C$53:$U$56,4,MATCH($D$11,$C$51:$U$51,0)+2)</f>
        <v>#N/A</v>
      </c>
      <c r="V41" s="37">
        <v>44957</v>
      </c>
      <c r="X41" s="102"/>
    </row>
    <row r="42" spans="3:26" ht="19.5" hidden="1" thickBot="1">
      <c r="V42" s="37">
        <v>44958</v>
      </c>
      <c r="X42" s="102"/>
    </row>
    <row r="43" spans="3:26" ht="23.25" hidden="1" thickBot="1">
      <c r="C43" s="105" t="s">
        <v>175</v>
      </c>
      <c r="D43" s="106">
        <f>IF($G$44&lt;0,0,$G$44)</f>
        <v>0</v>
      </c>
      <c r="E43" s="107" t="str">
        <f>$E$54</f>
        <v>EUR</v>
      </c>
      <c r="F43" s="103"/>
      <c r="G43" s="103"/>
      <c r="H43" s="103"/>
      <c r="V43" s="37">
        <v>44959</v>
      </c>
      <c r="X43" s="102"/>
    </row>
    <row r="44" spans="3:26" ht="24.75" hidden="1" thickBot="1">
      <c r="C44" s="113" t="s">
        <v>176</v>
      </c>
      <c r="D44" s="106">
        <f>IF(($G$44-$F$44)&lt;0,0,($G$44-$F$44))</f>
        <v>0</v>
      </c>
      <c r="E44" s="107" t="str">
        <f>$E$37</f>
        <v>EUR</v>
      </c>
      <c r="F44" s="101">
        <f>IF(IF(($J$23-C46)&lt;=D46,($J$23-C46)*D47,IF(($J$23-C46-D46)&lt;=E46,(($J$23-C46-D46)*E47+D46*D47),IF(($J$23-C46-D46-E46)&lt;=F46,(($J$23-C46-D46-E46)*F47+D46*D47+E46*E47),IF(($J$23-C46-D46-E46-F46)&lt;=G46,(($J$23-C46-D46-E46-F46)*G47+D46*D47+E46*E47+F46*F47),(D46*D47+E46*E47+F46*F47+G46*G47+H47*($J$23-C46-D46-E46-F46-G46))))))&lt;0,0,IF(($J$23-C46)&lt;=D46,($J$23-C46)*D47,IF(($J$23-C46-D46)&lt;=E46,(($J$23-C46-D46)*E47+D46*D47),IF(($J$23-C46-D46-E46)&lt;=F46,(($J$23-C46-D46-E46)*F47+D46*D47+E46*E47),IF(($J$23-C46-D46-E46-F46)&lt;=G46,(($J$23-C46-D46-E46-F46)*G47+D46*D47+E46*E47+F46*F47),(D46*D47+E46*E47+F46*F47+G46*G47+H47*($J$23-C46-D46-E46-F46-G46)))))))</f>
        <v>0</v>
      </c>
      <c r="G44" s="101">
        <f>IF(($G$23-C46)&lt;=D46,($G$23-C46)*D47,IF(($G$23-C46-D46)&lt;=E46,(($G$23-C46-D46)*E47+D46*D47),IF(($G$23-C46-D46-E46)&lt;=F46,(($G$23-C46-D46-E46)*F47+D46*D47+E46*E47),IF(($G$23-C46-D46-E46-F46)&lt;=G46,(($G$23-C46-D46-E46-F46)*G47+D46*D47+E46*E47+F46*F47),(D46*D47+E46*E47+F46*F47+G46*G47+H47*($G$23-C46-D46-E46-F46-G46))))))</f>
        <v>0</v>
      </c>
      <c r="H44" s="101">
        <f>G44-F44</f>
        <v>0</v>
      </c>
      <c r="I44" s="160">
        <f>IF((IF($G$23-$J$23&gt;10,10,IF($G$23-$J$23&lt;0,0,$G$23-$J$23)))&lt;=D46,(IF($G$23-$J$23&gt;10,10,IF($G$23-$J$23&lt;0,0,$G$23-$J$23)))*D47,IF((IF($G$23-$J$23&gt;10,10,IF($G$23-$J$23&lt;0,0,$G$23-$J$23))-D46)&lt;=E46,((IF($G$23-$J$23&gt;10,10,IF($G$23-$J$23&lt;0,0,$G$23-$J$23))-D46)*E47+D46*D47),IF((IF($G$23-$J$23&gt;10,10,IF($G$23-$J$23&lt;0,0,$G$23-$J$23))-D46-E46)&lt;=F46,((IF($G$23-$J$23&gt;10,10,IF($G$23-$J$23&lt;0,0,$G$23-$J$23))-D46-E46)*F47+D46*D47+E46*E47),IF((IF($G$23-$J$23&gt;10,10,IF($G$23-$J$23&lt;0,0,$G$23-$J$23))-D46-E46-F46)&lt;=G46,((IF($G$23-$J$23&gt;10,10,IF($G$23-$J$23&lt;0,0,$G$23-$J$23))-D46-E46-F46)*G47+D46*D47+E46*E47+F46*F47),(D46*D47+E46*E47+F46*F47+G46*G47+H47*(IF($G$23-$J$23&gt;10,10,IF($G$23-$J$23&lt;0,0,$G$23-$J$23))-D46-E46-F46-G46))))))</f>
        <v>0</v>
      </c>
      <c r="V44" s="37">
        <v>44960</v>
      </c>
      <c r="X44" s="102"/>
    </row>
    <row r="45" spans="3:26" ht="18.75" hidden="1">
      <c r="C45" s="110" t="s">
        <v>177</v>
      </c>
      <c r="D45" s="111" t="s">
        <v>13</v>
      </c>
      <c r="E45" s="114" t="s">
        <v>14</v>
      </c>
      <c r="F45" s="111" t="s">
        <v>169</v>
      </c>
      <c r="V45" s="37">
        <v>44961</v>
      </c>
      <c r="X45" s="102"/>
    </row>
    <row r="46" spans="3:26" ht="18.75" hidden="1">
      <c r="C46" s="108">
        <f>IFERROR(INDEX($C$69:$U$70,1,MATCH($D$11,$C$67:$U$67,0)),0)</f>
        <v>0</v>
      </c>
      <c r="D46" s="108">
        <f>IFERROR(INDEX($C$69:$U$70,2,MATCH($D$11,$C$67:$U$67,0)),0)</f>
        <v>0</v>
      </c>
      <c r="E46" s="108">
        <f>IFERROR(INDEX($C$69:$U$70,3,MATCH($D$11,$C$67:$U$67,0)),0)</f>
        <v>0</v>
      </c>
      <c r="F46" s="108">
        <f>IFERROR(INDEX($C$69:$U$70,4,MATCH($D$11,$C$67:$U$67,0)),0)</f>
        <v>0</v>
      </c>
      <c r="V46" s="37">
        <v>44962</v>
      </c>
      <c r="X46" s="102"/>
    </row>
    <row r="47" spans="3:26" ht="18.75" hidden="1">
      <c r="C47" s="108" cm="1">
        <f t="array" ref="C47">IFERROR(INDEX($C$69:$U$70,1,MATCH($D$11,$C$67:$U$67,0)+2),0)</f>
        <v>0</v>
      </c>
      <c r="D47" s="108" cm="1">
        <f t="array" ref="D47">IFERROR(INDEX($C$69:$U$70,2,MATCH($D$11,$C$67:$U$67,0)+2),0)</f>
        <v>0</v>
      </c>
      <c r="E47" s="108" cm="1">
        <f t="array" ref="E47">IFERROR(INDEX($C$69:$U$70,3,MATCH($D$11,$C$67:$U$67,0)+2),0)</f>
        <v>0</v>
      </c>
      <c r="F47" s="108" cm="1">
        <f t="array" ref="F47">IFERROR(INDEX($C$69:$U$70,4,MATCH($D$11,$C$67:$U$67,0)+2),0)</f>
        <v>0</v>
      </c>
      <c r="V47" s="37">
        <v>44963</v>
      </c>
      <c r="X47" s="102"/>
    </row>
    <row r="48" spans="3:26" ht="19.5" thickBot="1">
      <c r="V48" s="37">
        <v>44964</v>
      </c>
      <c r="X48" s="102"/>
    </row>
    <row r="49" spans="3:24" ht="22.9" customHeight="1" thickBot="1">
      <c r="C49" s="555" t="str">
        <f>D8 &amp; " Port - Storage &amp; Demurrage and Detention Cost List"</f>
        <v>&lt;make selection&gt; Port - Storage &amp; Demurrage and Detention Cost List</v>
      </c>
      <c r="D49" s="556"/>
      <c r="E49" s="556"/>
      <c r="F49" s="556"/>
      <c r="G49" s="556"/>
      <c r="H49" s="556"/>
      <c r="I49" s="556"/>
      <c r="J49" s="556"/>
      <c r="K49" s="556"/>
      <c r="L49" s="556"/>
      <c r="M49" s="556"/>
      <c r="N49" s="556"/>
      <c r="O49" s="557"/>
      <c r="P49" s="100"/>
      <c r="Q49" s="100"/>
      <c r="R49" s="100"/>
      <c r="S49" s="100"/>
      <c r="T49" s="100"/>
      <c r="U49" s="100"/>
      <c r="V49" s="37">
        <v>44965</v>
      </c>
      <c r="X49" s="102"/>
    </row>
    <row r="50" spans="3:24" ht="15" customHeight="1" thickBot="1">
      <c r="V50" s="37">
        <v>44966</v>
      </c>
      <c r="X50" s="102"/>
    </row>
    <row r="51" spans="3:24" ht="30.6" customHeight="1" thickBot="1">
      <c r="C51" s="157" t="s">
        <v>178</v>
      </c>
      <c r="D51" s="129" t="s">
        <v>8</v>
      </c>
      <c r="E51" s="130" t="s">
        <v>8</v>
      </c>
      <c r="F51" s="131" t="s">
        <v>8</v>
      </c>
      <c r="G51" s="129" t="s">
        <v>55</v>
      </c>
      <c r="H51" s="130" t="s">
        <v>55</v>
      </c>
      <c r="I51" s="131" t="s">
        <v>55</v>
      </c>
      <c r="J51" s="129" t="s">
        <v>10</v>
      </c>
      <c r="K51" s="130" t="s">
        <v>10</v>
      </c>
      <c r="L51" s="131" t="s">
        <v>10</v>
      </c>
      <c r="M51" s="129" t="s">
        <v>57</v>
      </c>
      <c r="N51" s="130" t="s">
        <v>57</v>
      </c>
      <c r="O51" s="131" t="s">
        <v>57</v>
      </c>
      <c r="V51" s="37">
        <v>44967</v>
      </c>
      <c r="X51" s="102"/>
    </row>
    <row r="52" spans="3:24" ht="18.75">
      <c r="C52" s="132" t="s">
        <v>179</v>
      </c>
      <c r="D52" s="138" t="s">
        <v>2</v>
      </c>
      <c r="E52" s="118" t="s">
        <v>3</v>
      </c>
      <c r="F52" s="122" t="s">
        <v>4</v>
      </c>
      <c r="G52" s="138" t="s">
        <v>2</v>
      </c>
      <c r="H52" s="118" t="s">
        <v>3</v>
      </c>
      <c r="I52" s="122" t="s">
        <v>4</v>
      </c>
      <c r="J52" s="138" t="s">
        <v>2</v>
      </c>
      <c r="K52" s="118" t="s">
        <v>3</v>
      </c>
      <c r="L52" s="122" t="s">
        <v>4</v>
      </c>
      <c r="M52" s="138" t="s">
        <v>2</v>
      </c>
      <c r="N52" s="118" t="s">
        <v>3</v>
      </c>
      <c r="O52" s="122" t="s">
        <v>4</v>
      </c>
      <c r="V52" s="37">
        <v>44968</v>
      </c>
      <c r="X52" s="102"/>
    </row>
    <row r="53" spans="3:24" ht="18.75">
      <c r="C53" s="133" t="str">
        <f>INDEX('Storage Tariffs (East)'!$A$1:$N$210,MATCH($C$51,'Storage Tariffs (East)'!$A$1:$A$210,0),D$66-1)</f>
        <v>Freetime</v>
      </c>
      <c r="D53" s="139">
        <f>INDEX('Storage Tariffs (East)'!$A$1:$N$210,MATCH($C$51,'Storage Tariffs (East)'!$A$1:$A$210,0),D$66)</f>
        <v>7</v>
      </c>
      <c r="E53" s="120">
        <f>INDEX('Storage Tariffs (East)'!$A$1:$N$210,MATCH($C$51,'Storage Tariffs (East)'!$A$1:$A$210,0),E$66)</f>
        <v>0</v>
      </c>
      <c r="F53" s="123">
        <f>INDEX('Storage Tariffs (East)'!$A$1:$N$210,MATCH($C$51,'Storage Tariffs (East)'!$A$1:$A$210,0),F$66)</f>
        <v>0</v>
      </c>
      <c r="G53" s="139">
        <f>INDEX('Storage Tariffs (East)'!$A$1:$N$210,MATCH($C$51,'Storage Tariffs (East)'!$A$1:$A$210,0),G$66)</f>
        <v>7</v>
      </c>
      <c r="H53" s="120" t="str">
        <f>INDEX('Storage Tariffs (East)'!$A$1:$N$210,MATCH($C$51,'Storage Tariffs (East)'!$A$1:$A$210,0),H$66)</f>
        <v/>
      </c>
      <c r="I53" s="123">
        <f>INDEX('Storage Tariffs (East)'!$A$1:$N$210,MATCH($C$51,'Storage Tariffs (East)'!$A$1:$A$210,0),I$66)</f>
        <v>0</v>
      </c>
      <c r="J53" s="139">
        <f>INDEX('Storage Tariffs (East)'!$A$1:$N$210,MATCH($C$51,'Storage Tariffs (East)'!$A$1:$A$210,0),J$66)</f>
        <v>2</v>
      </c>
      <c r="K53" s="120" t="str">
        <f>INDEX('Storage Tariffs (East)'!$A$1:$N$210,MATCH($C$51,'Storage Tariffs (East)'!$A$1:$A$210,0),K$66)</f>
        <v/>
      </c>
      <c r="L53" s="123">
        <f>INDEX('Storage Tariffs (East)'!$A$1:$N$210,MATCH($C$51,'Storage Tariffs (East)'!$A$1:$A$210,0),L$66)</f>
        <v>0</v>
      </c>
      <c r="M53" s="139">
        <f>INDEX('Storage Tariffs (East)'!$A$1:$N$210,MATCH($C$51,'Storage Tariffs (East)'!$A$1:$A$210,0),M$66)</f>
        <v>2</v>
      </c>
      <c r="N53" s="120">
        <f>INDEX('Storage Tariffs (East)'!$A$1:$N$210,MATCH($C$51,'Storage Tariffs (East)'!$A$1:$A$210,0),N$66)</f>
        <v>0</v>
      </c>
      <c r="O53" s="123">
        <f>INDEX('Storage Tariffs (East)'!$A$1:$N$210,MATCH($C$51,'Storage Tariffs (East)'!$A$1:$A$210,0),O$66)</f>
        <v>0</v>
      </c>
      <c r="V53" s="37">
        <v>44969</v>
      </c>
      <c r="X53" s="102"/>
    </row>
    <row r="54" spans="3:24" ht="18.75">
      <c r="C54" s="134" t="str">
        <f>INDEX('Storage Tariffs (East)'!$A$1:$N$210,MATCH($C$51,'Storage Tariffs (East)'!$A$1:$A$210,0)+1,D$66-1)</f>
        <v>1st Period</v>
      </c>
      <c r="D54" s="140">
        <f>INDEX('Storage Tariffs (East)'!$A$1:$N$210,MATCH($C$51,'Storage Tariffs (East)'!$A$1:$A$210,0)+1,D$66)</f>
        <v>5</v>
      </c>
      <c r="E54" s="119" t="str">
        <f>INDEX('Storage Tariffs (East)'!$A$1:$N$210,MATCH($C$51,'Storage Tariffs (East)'!$A$1:$A$210,0)+1,E$66)</f>
        <v>EUR</v>
      </c>
      <c r="F54" s="125">
        <f>INDEX('Storage Tariffs (East)'!$A$1:$N$210,MATCH($C$51,'Storage Tariffs (East)'!$A$1:$A$210,0)+1,F$66)</f>
        <v>38</v>
      </c>
      <c r="G54" s="140">
        <f>INDEX('Storage Tariffs (East)'!$A$1:$N$210,MATCH($C$51,'Storage Tariffs (East)'!$A$1:$A$210,0)+1,G$66)</f>
        <v>5</v>
      </c>
      <c r="H54" s="119" t="str">
        <f>INDEX('Storage Tariffs (East)'!$A$1:$N$210,MATCH($C$51,'Storage Tariffs (East)'!$A$1:$A$210,0)+1,H$66)</f>
        <v>EUR</v>
      </c>
      <c r="I54" s="125">
        <f>INDEX('Storage Tariffs (East)'!$A$1:$N$210,MATCH($C$51,'Storage Tariffs (East)'!$A$1:$A$210,0)+1,I$66)</f>
        <v>57</v>
      </c>
      <c r="J54" s="140">
        <f>INDEX('Storage Tariffs (East)'!$A$1:$N$210,MATCH($C$51,'Storage Tariffs (East)'!$A$1:$A$210,0)+1,J$66)</f>
        <v>0</v>
      </c>
      <c r="K54" s="119">
        <f>INDEX('Storage Tariffs (East)'!$A$1:$N$210,MATCH($C$51,'Storage Tariffs (East)'!$A$1:$A$210,0)+1,K$66)</f>
        <v>0</v>
      </c>
      <c r="L54" s="125">
        <f>INDEX('Storage Tariffs (East)'!$A$1:$N$210,MATCH($C$51,'Storage Tariffs (East)'!$A$1:$A$210,0)+1,L$66)</f>
        <v>0</v>
      </c>
      <c r="M54" s="140">
        <f>INDEX('Storage Tariffs (East)'!$A$1:$N$210,MATCH($C$51,'Storage Tariffs (East)'!$A$1:$A$210,0)+1,M$66)</f>
        <v>0</v>
      </c>
      <c r="N54" s="119">
        <f>INDEX('Storage Tariffs (East)'!$A$1:$N$210,MATCH($C$51,'Storage Tariffs (East)'!$A$1:$A$210,0)+1,N$66)</f>
        <v>0</v>
      </c>
      <c r="O54" s="125">
        <f>INDEX('Storage Tariffs (East)'!$A$1:$N$210,MATCH($C$51,'Storage Tariffs (East)'!$A$1:$A$210,0)+1,O$66)</f>
        <v>0</v>
      </c>
      <c r="V54" s="37">
        <v>44970</v>
      </c>
      <c r="X54" s="102"/>
    </row>
    <row r="55" spans="3:24" ht="19.5" thickBot="1">
      <c r="C55" s="156" t="str">
        <f>INDEX('Storage Tariffs (East)'!$A$1:$N$210,MATCH($C$51,'Storage Tariffs (East)'!$A$1:$A$210,0)+2,D$66-1)</f>
        <v>Thereafter</v>
      </c>
      <c r="D55" s="141">
        <f>INDEX('Storage Tariffs (East)'!$A$1:$N$210,MATCH($C$51,'Storage Tariffs (East)'!$A$1:$A$210,0)+2,D$66)</f>
        <v>9999999</v>
      </c>
      <c r="E55" s="126" t="str">
        <f>INDEX('Storage Tariffs (East)'!$A$1:$N$210,MATCH($C$51,'Storage Tariffs (East)'!$A$1:$A$210,0)+2,E$66)</f>
        <v>EUR</v>
      </c>
      <c r="F55" s="127">
        <f>INDEX('Storage Tariffs (East)'!$A$1:$N$210,MATCH($C$51,'Storage Tariffs (East)'!$A$1:$A$210,0)+2,F$66)</f>
        <v>57</v>
      </c>
      <c r="G55" s="141">
        <f>INDEX('Storage Tariffs (East)'!$A$1:$N$210,MATCH($C$51,'Storage Tariffs (East)'!$A$1:$A$210,0)+2,G$66)</f>
        <v>9999999</v>
      </c>
      <c r="H55" s="126" t="str">
        <f>INDEX('Storage Tariffs (East)'!$A$1:$N$210,MATCH($C$51,'Storage Tariffs (East)'!$A$1:$A$210,0)+2,H$66)</f>
        <v>EUR</v>
      </c>
      <c r="I55" s="127">
        <f>INDEX('Storage Tariffs (East)'!$A$1:$N$210,MATCH($C$51,'Storage Tariffs (East)'!$A$1:$A$210,0)+2,I$66)</f>
        <v>77</v>
      </c>
      <c r="J55" s="141">
        <f>INDEX('Storage Tariffs (East)'!$A$1:$N$210,MATCH($C$51,'Storage Tariffs (East)'!$A$1:$A$210,0)+2,J$66)</f>
        <v>9999999</v>
      </c>
      <c r="K55" s="126" t="str">
        <f>INDEX('Storage Tariffs (East)'!$A$1:$N$210,MATCH($C$51,'Storage Tariffs (East)'!$A$1:$A$210,0)+2,K$66)</f>
        <v>EUR</v>
      </c>
      <c r="L55" s="127">
        <f>INDEX('Storage Tariffs (East)'!$A$1:$N$210,MATCH($C$51,'Storage Tariffs (East)'!$A$1:$A$210,0)+2,L$66)</f>
        <v>155</v>
      </c>
      <c r="M55" s="141">
        <f>INDEX('Storage Tariffs (East)'!$A$1:$N$210,MATCH($C$51,'Storage Tariffs (East)'!$A$1:$A$210,0)+2,M$66)</f>
        <v>9999999</v>
      </c>
      <c r="N55" s="126" t="str">
        <f>INDEX('Storage Tariffs (East)'!$A$1:$N$210,MATCH($C$51,'Storage Tariffs (East)'!$A$1:$A$210,0)+2,N$66)</f>
        <v>EUR</v>
      </c>
      <c r="O55" s="127">
        <f>INDEX('Storage Tariffs (East)'!$A$1:$N$210,MATCH($C$51,'Storage Tariffs (East)'!$A$1:$A$210,0)+2,O$66)</f>
        <v>155</v>
      </c>
      <c r="V55" s="37">
        <v>44971</v>
      </c>
      <c r="X55" s="102"/>
    </row>
    <row r="56" spans="3:24" ht="1.5" customHeight="1">
      <c r="C56" s="154"/>
      <c r="D56" s="155"/>
      <c r="E56" s="155">
        <f>INDEX('Storage Tariffs (East)'!$A$1:$N$210,MATCH($C$51,'Storage Tariffs (East)'!$A$1:$A$210,0)+3,E$66)</f>
        <v>0</v>
      </c>
      <c r="F56" s="155">
        <f>INDEX('Storage Tariffs (East)'!$A$1:$N$210,MATCH($C$51,'Storage Tariffs (East)'!$A$1:$A$210,0)+3,F$66)</f>
        <v>0</v>
      </c>
      <c r="G56" s="155"/>
      <c r="H56" s="155">
        <f>INDEX('Storage Tariffs (East)'!$A$1:$N$210,MATCH($C$51,'Storage Tariffs (East)'!$A$1:$A$210,0)+3,H$66)</f>
        <v>0</v>
      </c>
      <c r="I56" s="155">
        <f>INDEX('Storage Tariffs (East)'!$A$1:$N$210,MATCH($C$51,'Storage Tariffs (East)'!$A$1:$A$210,0)+3,I$66)</f>
        <v>0</v>
      </c>
      <c r="J56" s="155">
        <f>INDEX('Storage Tariffs (East)'!$A$1:$N$210,MATCH($C$51,'Storage Tariffs (East)'!$A$1:$A$210,0)+3,J$66)</f>
        <v>0</v>
      </c>
      <c r="K56" s="155">
        <f>INDEX('Storage Tariffs (East)'!$A$1:$N$210,MATCH($C$51,'Storage Tariffs (East)'!$A$1:$A$210,0)+3,K$66)</f>
        <v>0</v>
      </c>
      <c r="L56" s="155">
        <f>INDEX('Storage Tariffs (East)'!$A$1:$N$210,MATCH($C$51,'Storage Tariffs (East)'!$A$1:$A$210,0)+3,L$66)</f>
        <v>0</v>
      </c>
      <c r="M56" s="155">
        <f>INDEX('Storage Tariffs (East)'!$A$1:$N$210,MATCH($C$51,'Storage Tariffs (East)'!$A$1:$A$210,0)+3,M$66)</f>
        <v>0</v>
      </c>
      <c r="N56" s="155">
        <f>INDEX('Storage Tariffs (East)'!$A$1:$N$210,MATCH($C$51,'Storage Tariffs (East)'!$A$1:$A$210,0)+3,N$66)</f>
        <v>0</v>
      </c>
      <c r="O56" s="155">
        <f>INDEX('Storage Tariffs (East)'!$A$1:$N$210,MATCH($C$51,'Storage Tariffs (East)'!$A$1:$A$210,0)+3,O$66)</f>
        <v>0</v>
      </c>
      <c r="V56" s="37">
        <v>44972</v>
      </c>
      <c r="X56" s="102"/>
    </row>
    <row r="57" spans="3:24" ht="19.5" thickBot="1">
      <c r="V57" s="37">
        <v>44973</v>
      </c>
      <c r="X57" s="102"/>
    </row>
    <row r="58" spans="3:24" ht="30.6" customHeight="1" thickBot="1">
      <c r="C58" s="157" t="str">
        <f>"Storage Costs for "&amp;CHAR(10) &amp; D8</f>
        <v>Storage Costs for 
&lt;make selection&gt;</v>
      </c>
      <c r="D58" s="129" t="s">
        <v>8</v>
      </c>
      <c r="E58" s="130" t="s">
        <v>8</v>
      </c>
      <c r="F58" s="131" t="s">
        <v>8</v>
      </c>
      <c r="G58" s="129" t="s">
        <v>55</v>
      </c>
      <c r="H58" s="130" t="s">
        <v>55</v>
      </c>
      <c r="I58" s="131" t="s">
        <v>55</v>
      </c>
      <c r="J58" s="129" t="s">
        <v>10</v>
      </c>
      <c r="K58" s="130" t="s">
        <v>10</v>
      </c>
      <c r="L58" s="131" t="s">
        <v>10</v>
      </c>
      <c r="M58" s="129" t="s">
        <v>57</v>
      </c>
      <c r="N58" s="130" t="s">
        <v>57</v>
      </c>
      <c r="O58" s="131" t="s">
        <v>57</v>
      </c>
      <c r="V58" s="37">
        <v>44974</v>
      </c>
      <c r="X58" s="102"/>
    </row>
    <row r="59" spans="3:24" ht="18.75">
      <c r="C59" s="132" t="s">
        <v>179</v>
      </c>
      <c r="D59" s="149" t="s">
        <v>2</v>
      </c>
      <c r="E59" s="128" t="s">
        <v>3</v>
      </c>
      <c r="F59" s="150" t="s">
        <v>4</v>
      </c>
      <c r="G59" s="138" t="s">
        <v>2</v>
      </c>
      <c r="H59" s="118" t="s">
        <v>3</v>
      </c>
      <c r="I59" s="122" t="s">
        <v>4</v>
      </c>
      <c r="J59" s="138" t="s">
        <v>2</v>
      </c>
      <c r="K59" s="118" t="s">
        <v>3</v>
      </c>
      <c r="L59" s="122" t="s">
        <v>4</v>
      </c>
      <c r="M59" s="135" t="s">
        <v>2</v>
      </c>
      <c r="N59" s="118" t="s">
        <v>3</v>
      </c>
      <c r="O59" s="122" t="s">
        <v>4</v>
      </c>
      <c r="V59" s="37">
        <v>44975</v>
      </c>
      <c r="X59" s="102"/>
    </row>
    <row r="60" spans="3:24" ht="18.75">
      <c r="C60" s="142" t="e">
        <f>IF((INDEX('Storage Tariffs (East)'!$A:$B,MATCH('DD Calculator Italy-East Hemis.'!$D$8,'Storage Tariffs (East)'!$A:$A,0),1)=$D$8),INDEX('Storage Tariffs (East)'!$A:$B,MATCH('DD Calculator Italy-East Hemis.'!$D$8,'Storage Tariffs (East)'!$A:$A,0),2),"")</f>
        <v>#N/A</v>
      </c>
      <c r="D60" s="151" t="e">
        <f>IF($C60=0,0,INDEX('Storage Tariffs (East)'!$A$1:$N$110,MATCH('DD Calculator Italy-East Hemis.'!$D$8,'Storage Tariffs (East)'!$A$1:$A$110,0)+0,D$66))</f>
        <v>#N/A</v>
      </c>
      <c r="E60" s="121" t="e">
        <f>IF($C60=0,0,INDEX('Storage Tariffs (East)'!$A$1:$N$110,MATCH('DD Calculator Italy-East Hemis.'!$D$8,'Storage Tariffs (East)'!$A$1:$A$110,0)+0,E$66))</f>
        <v>#N/A</v>
      </c>
      <c r="F60" s="124" t="e">
        <f>IF($C60=0,0,INDEX('Storage Tariffs (East)'!$A$1:$N$110,MATCH('DD Calculator Italy-East Hemis.'!$D$8,'Storage Tariffs (East)'!$A$1:$A$110,0)+0,F$66))</f>
        <v>#N/A</v>
      </c>
      <c r="G60" s="151" t="e">
        <f>IF($C60=0,0,INDEX('Storage Tariffs (East)'!$A$1:$N$110,MATCH('DD Calculator Italy-East Hemis.'!$D$8,'Storage Tariffs (East)'!$A$1:$A$110,0)+0,G$66))</f>
        <v>#N/A</v>
      </c>
      <c r="H60" s="121" t="e">
        <f>IF($C60=0,0,INDEX('Storage Tariffs (East)'!$A$1:$N$110,MATCH('DD Calculator Italy-East Hemis.'!$D$8,'Storage Tariffs (East)'!$A$1:$A$110,0)+0,H$66))</f>
        <v>#N/A</v>
      </c>
      <c r="I60" s="124" t="e">
        <f>IF($C60=0,0,INDEX('Storage Tariffs (East)'!$A$1:$N$110,MATCH('DD Calculator Italy-East Hemis.'!$D$8,'Storage Tariffs (East)'!$A$1:$A$110,0)+0,I$66))</f>
        <v>#N/A</v>
      </c>
      <c r="J60" s="151" t="e">
        <f>IF($C60=0,0,INDEX('Storage Tariffs (East)'!$A$1:$N$110,MATCH('DD Calculator Italy-East Hemis.'!$D$8,'Storage Tariffs (East)'!$A$1:$A$110,0)+0,J$66))</f>
        <v>#N/A</v>
      </c>
      <c r="K60" s="121" t="e">
        <f>IF($C60=0,0,INDEX('Storage Tariffs (East)'!$A$1:$N$110,MATCH('DD Calculator Italy-East Hemis.'!$D$8,'Storage Tariffs (East)'!$A$1:$A$110,0)+0,K$66))</f>
        <v>#N/A</v>
      </c>
      <c r="L60" s="124" t="e">
        <f>IF($C60=0,0,INDEX('Storage Tariffs (East)'!$A$1:$N$110,MATCH('DD Calculator Italy-East Hemis.'!$D$8,'Storage Tariffs (East)'!$A$1:$A$110,0)+0,L$66))</f>
        <v>#N/A</v>
      </c>
      <c r="M60" s="147" t="e">
        <f>IF($C60=0,0,INDEX('Storage Tariffs (East)'!$A$1:$N$110,MATCH('DD Calculator Italy-East Hemis.'!$D$8,'Storage Tariffs (East)'!$A$1:$A$110,0)+0,M$66))</f>
        <v>#N/A</v>
      </c>
      <c r="N60" s="121" t="e">
        <f>IF($C60=0,0,INDEX('Storage Tariffs (East)'!$A$1:$N$110,MATCH('DD Calculator Italy-East Hemis.'!$D$8,'Storage Tariffs (East)'!$A$1:$A$110,0)+0,N$66))</f>
        <v>#N/A</v>
      </c>
      <c r="O60" s="124" t="e">
        <f>IF($C60=0,0,INDEX('Storage Tariffs (East)'!$A$1:$N$110,MATCH('DD Calculator Italy-East Hemis.'!$D$8,'Storage Tariffs (East)'!$A$1:$A$110,0)+0,O$66))</f>
        <v>#N/A</v>
      </c>
      <c r="V60" s="37">
        <v>44976</v>
      </c>
      <c r="X60" s="102"/>
    </row>
    <row r="61" spans="3:24" ht="18.75">
      <c r="C61" s="143" t="e" cm="1">
        <f t="array" ref="C61">IF((INDEX('Storage Tariffs (East)'!$A:$B,MATCH('DD Calculator Italy-East Hemis.'!$D$8,'Storage Tariffs (East)'!$A:$A,0)+1,1)=$D$8),INDEX('Storage Tariffs (East)'!$A:$B,MATCH('DD Calculator Italy-East Hemis.'!$D$8,'Storage Tariffs (East)'!$A:$A,0)+1,2),"")</f>
        <v>#N/A</v>
      </c>
      <c r="D61" s="139" t="e">
        <f>IF($C61=0,0,INDEX('Storage Tariffs (East)'!$A$1:$N$110,MATCH('DD Calculator Italy-East Hemis.'!$D$8,'Storage Tariffs (East)'!$A$1:$A$110,0)+1,D$66))</f>
        <v>#N/A</v>
      </c>
      <c r="E61" s="120" t="e">
        <f>IF($C61=0,0,INDEX('Storage Tariffs (East)'!$A$1:$N$110,MATCH('DD Calculator Italy-East Hemis.'!$D$8,'Storage Tariffs (East)'!$A$1:$A$110,0)+1,E$66))</f>
        <v>#N/A</v>
      </c>
      <c r="F61" s="123" t="e">
        <f>IF($C61=0,0,INDEX('Storage Tariffs (East)'!$A$1:$N$110,MATCH('DD Calculator Italy-East Hemis.'!$D$8,'Storage Tariffs (East)'!$A$1:$A$110,0)+1,F$66))</f>
        <v>#N/A</v>
      </c>
      <c r="G61" s="139" t="e">
        <f>IF($C61=0,0,INDEX('Storage Tariffs (East)'!$A$1:$N$110,MATCH('DD Calculator Italy-East Hemis.'!$D$8,'Storage Tariffs (East)'!$A$1:$A$110,0)+1,G$66))</f>
        <v>#N/A</v>
      </c>
      <c r="H61" s="120" t="e">
        <f>IF($C61=0,0,INDEX('Storage Tariffs (East)'!$A$1:$N$110,MATCH('DD Calculator Italy-East Hemis.'!$D$8,'Storage Tariffs (East)'!$A$1:$A$110,0)+1,H$66))</f>
        <v>#N/A</v>
      </c>
      <c r="I61" s="123" t="e">
        <f>IF($C61=0,0,INDEX('Storage Tariffs (East)'!$A$1:$N$110,MATCH('DD Calculator Italy-East Hemis.'!$D$8,'Storage Tariffs (East)'!$A$1:$A$110,0)+1,I$66))</f>
        <v>#N/A</v>
      </c>
      <c r="J61" s="139" t="e">
        <f>IF($C61=0,0,INDEX('Storage Tariffs (East)'!$A$1:$N$110,MATCH('DD Calculator Italy-East Hemis.'!$D$8,'Storage Tariffs (East)'!$A$1:$A$110,0)+1,J$66))</f>
        <v>#N/A</v>
      </c>
      <c r="K61" s="120" t="e">
        <f>IF($C61=0,0,INDEX('Storage Tariffs (East)'!$A$1:$N$110,MATCH('DD Calculator Italy-East Hemis.'!$D$8,'Storage Tariffs (East)'!$A$1:$A$110,0)+1,K$66))</f>
        <v>#N/A</v>
      </c>
      <c r="L61" s="123" t="e">
        <f>IF($C61=0,0,INDEX('Storage Tariffs (East)'!$A$1:$N$110,MATCH('DD Calculator Italy-East Hemis.'!$D$8,'Storage Tariffs (East)'!$A$1:$A$110,0)+1,L$66))</f>
        <v>#N/A</v>
      </c>
      <c r="M61" s="136" t="e">
        <f>IF($C61=0,0,INDEX('Storage Tariffs (East)'!$A$1:$N$110,MATCH('DD Calculator Italy-East Hemis.'!$D$8,'Storage Tariffs (East)'!$A$1:$A$110,0)+1,M$66))</f>
        <v>#N/A</v>
      </c>
      <c r="N61" s="120" t="e">
        <f>IF($C61=0,0,INDEX('Storage Tariffs (East)'!$A$1:$N$110,MATCH('DD Calculator Italy-East Hemis.'!$D$8,'Storage Tariffs (East)'!$A$1:$A$110,0)+1,N$66))</f>
        <v>#N/A</v>
      </c>
      <c r="O61" s="123" t="e">
        <f>IF($C61=0,0,INDEX('Storage Tariffs (East)'!$A$1:$N$110,MATCH('DD Calculator Italy-East Hemis.'!$D$8,'Storage Tariffs (East)'!$A$1:$A$110,0)+1,O$66))</f>
        <v>#N/A</v>
      </c>
      <c r="V61" s="37">
        <v>44977</v>
      </c>
      <c r="X61" s="102"/>
    </row>
    <row r="62" spans="3:24" ht="18.75">
      <c r="C62" s="144" t="e" cm="1">
        <f t="array" ref="C62">IF((INDEX('Storage Tariffs (East)'!$A:$B,MATCH('DD Calculator Italy-East Hemis.'!$D$8,'Storage Tariffs (East)'!$A:$A,0)+2,1)=$D$8),INDEX('Storage Tariffs (East)'!$A:$B,MATCH('DD Calculator Italy-East Hemis.'!$D$8,'Storage Tariffs (East)'!$A:$A,0)+2,2),0)</f>
        <v>#N/A</v>
      </c>
      <c r="D62" s="140" t="e">
        <f>IF($C62=0,0,INDEX('Storage Tariffs (East)'!$A$1:$N$110,MATCH('DD Calculator Italy-East Hemis.'!$D$8,'Storage Tariffs (East)'!$A$1:$A$110,0)+2,D$66))</f>
        <v>#N/A</v>
      </c>
      <c r="E62" s="119" t="e">
        <f>IF($C62=0,0,INDEX('Storage Tariffs (East)'!$A$1:$N$110,MATCH('DD Calculator Italy-East Hemis.'!$D$8,'Storage Tariffs (East)'!$A$1:$A$110,0)+2,E$66))</f>
        <v>#N/A</v>
      </c>
      <c r="F62" s="125" t="e">
        <f>IF($C62=0,0,INDEX('Storage Tariffs (East)'!$A$1:$N$110,MATCH('DD Calculator Italy-East Hemis.'!$D$8,'Storage Tariffs (East)'!$A$1:$A$110,0)+2,F$66))</f>
        <v>#N/A</v>
      </c>
      <c r="G62" s="140" t="e">
        <f>IF($C62=0,0,INDEX('Storage Tariffs (East)'!$A$1:$N$110,MATCH('DD Calculator Italy-East Hemis.'!$D$8,'Storage Tariffs (East)'!$A$1:$A$110,0)+2,G$66))</f>
        <v>#N/A</v>
      </c>
      <c r="H62" s="119" t="e">
        <f>IF($C62=0,0,INDEX('Storage Tariffs (East)'!$A$1:$N$110,MATCH('DD Calculator Italy-East Hemis.'!$D$8,'Storage Tariffs (East)'!$A$1:$A$110,0)+2,H$66))</f>
        <v>#N/A</v>
      </c>
      <c r="I62" s="125" t="e">
        <f>IF($C62=0,0,INDEX('Storage Tariffs (East)'!$A$1:$N$110,MATCH('DD Calculator Italy-East Hemis.'!$D$8,'Storage Tariffs (East)'!$A$1:$A$110,0)+2,I$66))</f>
        <v>#N/A</v>
      </c>
      <c r="J62" s="140" t="e">
        <f>IF($C62=0,0,INDEX('Storage Tariffs (East)'!$A$1:$N$110,MATCH('DD Calculator Italy-East Hemis.'!$D$8,'Storage Tariffs (East)'!$A$1:$A$110,0)+2,J$66))</f>
        <v>#N/A</v>
      </c>
      <c r="K62" s="119" t="e">
        <f>IF($C62=0,0,INDEX('Storage Tariffs (East)'!$A$1:$N$110,MATCH('DD Calculator Italy-East Hemis.'!$D$8,'Storage Tariffs (East)'!$A$1:$A$110,0)+2,K$66))</f>
        <v>#N/A</v>
      </c>
      <c r="L62" s="125" t="e">
        <f>IF($C62=0,0,INDEX('Storage Tariffs (East)'!$A$1:$N$110,MATCH('DD Calculator Italy-East Hemis.'!$D$8,'Storage Tariffs (East)'!$A$1:$A$110,0)+2,L$66))</f>
        <v>#N/A</v>
      </c>
      <c r="M62" s="137" t="e">
        <f>IF($C62=0,0,INDEX('Storage Tariffs (East)'!$A$1:$N$110,MATCH('DD Calculator Italy-East Hemis.'!$D$8,'Storage Tariffs (East)'!$A$1:$A$110,0)+2,M$66))</f>
        <v>#N/A</v>
      </c>
      <c r="N62" s="119" t="e">
        <f>IF($C62=0,0,INDEX('Storage Tariffs (East)'!$A$1:$N$110,MATCH('DD Calculator Italy-East Hemis.'!$D$8,'Storage Tariffs (East)'!$A$1:$A$110,0)+2,N$66))</f>
        <v>#N/A</v>
      </c>
      <c r="O62" s="125" t="e">
        <f>IF($C62=0,0,INDEX('Storage Tariffs (East)'!$A$1:$N$110,MATCH('DD Calculator Italy-East Hemis.'!$D$8,'Storage Tariffs (East)'!$A$1:$A$110,0)+2,O$66))</f>
        <v>#N/A</v>
      </c>
      <c r="V62" s="37">
        <v>44978</v>
      </c>
      <c r="X62" s="102"/>
    </row>
    <row r="63" spans="3:24" ht="18.75">
      <c r="C63" s="143" t="e" cm="1">
        <f t="array" ref="C63">IF((INDEX('Storage Tariffs (East)'!$A:$B,MATCH('DD Calculator Italy-East Hemis.'!$D$8,'Storage Tariffs (East)'!$A:$A,0)+3,1)=$D$8),INDEX('Storage Tariffs (East)'!$A:$B,MATCH('DD Calculator Italy-East Hemis.'!$D$8,'Storage Tariffs (East)'!$A:$A,0)+3,2),0)</f>
        <v>#N/A</v>
      </c>
      <c r="D63" s="139" t="e">
        <f>IF($C63=0,0,INDEX('Storage Tariffs (East)'!$A$1:$N$110,MATCH('DD Calculator Italy-East Hemis.'!$D$8,'Storage Tariffs (East)'!$A$1:$A$110,0)+3,D$66))</f>
        <v>#N/A</v>
      </c>
      <c r="E63" s="120" t="e">
        <f>IF($C63=0,0,INDEX('Storage Tariffs (East)'!$A$1:$N$110,MATCH('DD Calculator Italy-East Hemis.'!$D$8,'Storage Tariffs (East)'!$A$1:$A$110,0)+3,E$66))</f>
        <v>#N/A</v>
      </c>
      <c r="F63" s="123" t="e">
        <f>IF($C63=0,0,INDEX('Storage Tariffs (East)'!$A$1:$N$110,MATCH('DD Calculator Italy-East Hemis.'!$D$8,'Storage Tariffs (East)'!$A$1:$A$110,0)+3,F$66))</f>
        <v>#N/A</v>
      </c>
      <c r="G63" s="139" t="e">
        <f>IF($C63=0,0,INDEX('Storage Tariffs (East)'!$A$1:$N$110,MATCH('DD Calculator Italy-East Hemis.'!$D$8,'Storage Tariffs (East)'!$A$1:$A$110,0)+3,G$66))</f>
        <v>#N/A</v>
      </c>
      <c r="H63" s="120" t="e">
        <f>IF($C63=0,0,INDEX('Storage Tariffs (East)'!$A$1:$N$110,MATCH('DD Calculator Italy-East Hemis.'!$D$8,'Storage Tariffs (East)'!$A$1:$A$110,0)+3,H$66))</f>
        <v>#N/A</v>
      </c>
      <c r="I63" s="123" t="e">
        <f>IF($C63=0,0,INDEX('Storage Tariffs (East)'!$A$1:$N$110,MATCH('DD Calculator Italy-East Hemis.'!$D$8,'Storage Tariffs (East)'!$A$1:$A$110,0)+3,I$66))</f>
        <v>#N/A</v>
      </c>
      <c r="J63" s="139" t="e">
        <f>IF($C63=0,0,INDEX('Storage Tariffs (East)'!$A$1:$N$110,MATCH('DD Calculator Italy-East Hemis.'!$D$8,'Storage Tariffs (East)'!$A$1:$A$110,0)+3,J$66))</f>
        <v>#N/A</v>
      </c>
      <c r="K63" s="120" t="e">
        <f>IF($C63=0,0,INDEX('Storage Tariffs (East)'!$A$1:$N$110,MATCH('DD Calculator Italy-East Hemis.'!$D$8,'Storage Tariffs (East)'!$A$1:$A$110,0)+3,K$66))</f>
        <v>#N/A</v>
      </c>
      <c r="L63" s="123" t="e">
        <f>IF($C63=0,0,INDEX('Storage Tariffs (East)'!$A$1:$N$110,MATCH('DD Calculator Italy-East Hemis.'!$D$8,'Storage Tariffs (East)'!$A$1:$A$110,0)+3,L$66))</f>
        <v>#N/A</v>
      </c>
      <c r="M63" s="136" t="e">
        <f>IF($C63=0,0,INDEX('Storage Tariffs (East)'!$A$1:$N$110,MATCH('DD Calculator Italy-East Hemis.'!$D$8,'Storage Tariffs (East)'!$A$1:$A$110,0)+3,M$66))</f>
        <v>#N/A</v>
      </c>
      <c r="N63" s="120" t="e">
        <f>IF($C63=0,0,INDEX('Storage Tariffs (East)'!$A$1:$N$110,MATCH('DD Calculator Italy-East Hemis.'!$D$8,'Storage Tariffs (East)'!$A$1:$A$110,0)+3,N$66))</f>
        <v>#N/A</v>
      </c>
      <c r="O63" s="123" t="e">
        <f>IF($C63=0,0,INDEX('Storage Tariffs (East)'!$A$1:$N$110,MATCH('DD Calculator Italy-East Hemis.'!$D$8,'Storage Tariffs (East)'!$A$1:$A$110,0)+3,O$66))</f>
        <v>#N/A</v>
      </c>
      <c r="V63" s="37">
        <v>44979</v>
      </c>
      <c r="X63" s="102"/>
    </row>
    <row r="64" spans="3:24" ht="18.75">
      <c r="C64" s="145" t="e" cm="1">
        <f t="array" ref="C64">IF((INDEX('Storage Tariffs (East)'!$A:$B,MATCH('DD Calculator Italy-East Hemis.'!$D$8,'Storage Tariffs (East)'!$A:$A,0)+4,1)=$D$8),INDEX('Storage Tariffs (East)'!$A:$B,MATCH('DD Calculator Italy-East Hemis.'!$D$8,'Storage Tariffs (East)'!$A:$A,0)+4,2),0)</f>
        <v>#N/A</v>
      </c>
      <c r="D64" s="139" t="e">
        <f>IF($C64=0,0,INDEX('Storage Tariffs (East)'!$A$1:$N$110,MATCH('DD Calculator Italy-East Hemis.'!$D$8,'Storage Tariffs (East)'!$A$1:$A$110,0)+4,D$66))</f>
        <v>#N/A</v>
      </c>
      <c r="E64" s="120" t="e">
        <f>IF($C64=0,0,INDEX('Storage Tariffs (East)'!$A$1:$N$110,MATCH('DD Calculator Italy-East Hemis.'!$D$8,'Storage Tariffs (East)'!$A$1:$A$110,0)+4,E$66))</f>
        <v>#N/A</v>
      </c>
      <c r="F64" s="123" t="e">
        <f>IF($C64=0,0,INDEX('Storage Tariffs (East)'!$A$1:$N$110,MATCH('DD Calculator Italy-East Hemis.'!$D$8,'Storage Tariffs (East)'!$A$1:$A$110,0)+4,F$66))</f>
        <v>#N/A</v>
      </c>
      <c r="G64" s="139" t="e">
        <f>IF($C64=0,0,INDEX('Storage Tariffs (East)'!$A$1:$N$110,MATCH('DD Calculator Italy-East Hemis.'!$D$8,'Storage Tariffs (East)'!$A$1:$A$110,0)+4,G$66))</f>
        <v>#N/A</v>
      </c>
      <c r="H64" s="120" t="e">
        <f>IF($C64=0,0,INDEX('Storage Tariffs (East)'!$A$1:$N$110,MATCH('DD Calculator Italy-East Hemis.'!$D$8,'Storage Tariffs (East)'!$A$1:$A$110,0)+4,H$66))</f>
        <v>#N/A</v>
      </c>
      <c r="I64" s="123" t="e">
        <f>IF($C64=0,0,INDEX('Storage Tariffs (East)'!$A$1:$N$110,MATCH('DD Calculator Italy-East Hemis.'!$D$8,'Storage Tariffs (East)'!$A$1:$A$110,0)+4,I$66))</f>
        <v>#N/A</v>
      </c>
      <c r="J64" s="139" t="e">
        <f>IF($C64=0,0,INDEX('Storage Tariffs (East)'!$A$1:$N$110,MATCH('DD Calculator Italy-East Hemis.'!$D$8,'Storage Tariffs (East)'!$A$1:$A$110,0)+4,J$66))</f>
        <v>#N/A</v>
      </c>
      <c r="K64" s="120" t="e">
        <f>IF($C64=0,0,INDEX('Storage Tariffs (East)'!$A$1:$N$110,MATCH('DD Calculator Italy-East Hemis.'!$D$8,'Storage Tariffs (East)'!$A$1:$A$110,0)+4,K$66))</f>
        <v>#N/A</v>
      </c>
      <c r="L64" s="123" t="e">
        <f>IF($C64=0,0,INDEX('Storage Tariffs (East)'!$A$1:$N$110,MATCH('DD Calculator Italy-East Hemis.'!$D$8,'Storage Tariffs (East)'!$A$1:$A$110,0)+4,L$66))</f>
        <v>#N/A</v>
      </c>
      <c r="M64" s="136" t="e">
        <f>IF($C64=0,0,INDEX('Storage Tariffs (East)'!$A$1:$N$110,MATCH('DD Calculator Italy-East Hemis.'!$D$8,'Storage Tariffs (East)'!$A$1:$A$110,0)+4,M$66))</f>
        <v>#N/A</v>
      </c>
      <c r="N64" s="120" t="e">
        <f>IF($C64=0,0,INDEX('Storage Tariffs (East)'!$A$1:$N$110,MATCH('DD Calculator Italy-East Hemis.'!$D$8,'Storage Tariffs (East)'!$A$1:$A$110,0)+4,N$66))</f>
        <v>#N/A</v>
      </c>
      <c r="O64" s="123" t="e">
        <f>IF($C64=0,0,INDEX('Storage Tariffs (East)'!$A$1:$N$110,MATCH('DD Calculator Italy-East Hemis.'!$D$8,'Storage Tariffs (East)'!$A$1:$A$110,0)+4,O$66))</f>
        <v>#N/A</v>
      </c>
      <c r="V64" s="37">
        <v>44980</v>
      </c>
      <c r="X64" s="102"/>
    </row>
    <row r="65" spans="3:24" ht="19.5" thickBot="1">
      <c r="C65" s="146" t="e" cm="1">
        <f t="array" ref="C65">IF((INDEX('Storage Tariffs (East)'!$A:$B,MATCH('DD Calculator Italy-East Hemis.'!$D$8,'Storage Tariffs (East)'!$A:$A,0)+5,1)=$D$8),INDEX('Storage Tariffs (East)'!$A:$B,MATCH('DD Calculator Italy-East Hemis.'!$D$8,'Storage Tariffs (East)'!$A:$A,0)+5,2),0)</f>
        <v>#N/A</v>
      </c>
      <c r="D65" s="141" t="e">
        <f>IF($C65=0,0,INDEX('Storage Tariffs (East)'!$A$1:$N$110,MATCH('DD Calculator Italy-East Hemis.'!$D$8,'Storage Tariffs (East)'!$A$1:$A$110,0)+5,D$66))</f>
        <v>#N/A</v>
      </c>
      <c r="E65" s="126" t="e">
        <f>IF($C65=0,0,INDEX('Storage Tariffs (East)'!$A$1:$N$110,MATCH('DD Calculator Italy-East Hemis.'!$D$8,'Storage Tariffs (East)'!$A$1:$A$110,0)+5,E$66))</f>
        <v>#N/A</v>
      </c>
      <c r="F65" s="127" t="e">
        <f>IF($C65=0,0,INDEX('Storage Tariffs (East)'!$A$1:$N$110,MATCH('DD Calculator Italy-East Hemis.'!$D$8,'Storage Tariffs (East)'!$A$1:$A$110,0)+5,F$66))</f>
        <v>#N/A</v>
      </c>
      <c r="G65" s="141" t="e">
        <f>IF($C65=0,0,INDEX('Storage Tariffs (East)'!$A$1:$N$110,MATCH('DD Calculator Italy-East Hemis.'!$D$8,'Storage Tariffs (East)'!$A$1:$A$110,0)+5,G$66))</f>
        <v>#N/A</v>
      </c>
      <c r="H65" s="126" t="e">
        <f>IF($C65=0,0,INDEX('Storage Tariffs (East)'!$A$1:$N$110,MATCH('DD Calculator Italy-East Hemis.'!$D$8,'Storage Tariffs (East)'!$A$1:$A$110,0)+5,H$66))</f>
        <v>#N/A</v>
      </c>
      <c r="I65" s="127" t="e">
        <f>IF($C65=0,0,INDEX('Storage Tariffs (East)'!$A$1:$N$110,MATCH('DD Calculator Italy-East Hemis.'!$D$8,'Storage Tariffs (East)'!$A$1:$A$110,0)+5,I$66))</f>
        <v>#N/A</v>
      </c>
      <c r="J65" s="141" t="e">
        <f>IF($C65=0,0,INDEX('Storage Tariffs (East)'!$A$1:$N$110,MATCH('DD Calculator Italy-East Hemis.'!$D$8,'Storage Tariffs (East)'!$A$1:$A$110,0)+5,J$66))</f>
        <v>#N/A</v>
      </c>
      <c r="K65" s="126" t="e">
        <f>IF($C65=0,0,INDEX('Storage Tariffs (East)'!$A$1:$N$110,MATCH('DD Calculator Italy-East Hemis.'!$D$8,'Storage Tariffs (East)'!$A$1:$A$110,0)+5,K$66))</f>
        <v>#N/A</v>
      </c>
      <c r="L65" s="127" t="e">
        <f>IF($C65=0,0,INDEX('Storage Tariffs (East)'!$A$1:$N$110,MATCH('DD Calculator Italy-East Hemis.'!$D$8,'Storage Tariffs (East)'!$A$1:$A$110,0)+5,L$66))</f>
        <v>#N/A</v>
      </c>
      <c r="M65" s="148" t="e">
        <f>IF($C65=0,0,INDEX('Storage Tariffs (East)'!$A$1:$N$110,MATCH('DD Calculator Italy-East Hemis.'!$D$8,'Storage Tariffs (East)'!$A$1:$A$110,0)+5,M$66))</f>
        <v>#N/A</v>
      </c>
      <c r="N65" s="126" t="e">
        <f>IF($C65=0,0,INDEX('Storage Tariffs (East)'!$A$1:$N$110,MATCH('DD Calculator Italy-East Hemis.'!$D$8,'Storage Tariffs (East)'!$A$1:$A$110,0)+5,N$66))</f>
        <v>#N/A</v>
      </c>
      <c r="O65" s="127" t="e">
        <f>IF($C65=0,0,INDEX('Storage Tariffs (East)'!$A$1:$N$110,MATCH('DD Calculator Italy-East Hemis.'!$D$8,'Storage Tariffs (East)'!$A$1:$A$110,0)+5,O$66))</f>
        <v>#N/A</v>
      </c>
      <c r="V65" s="37">
        <v>44981</v>
      </c>
      <c r="X65" s="102"/>
    </row>
    <row r="66" spans="3:24" ht="19.5" thickBot="1">
      <c r="D66" s="103">
        <v>3</v>
      </c>
      <c r="E66" s="103">
        <v>4</v>
      </c>
      <c r="F66" s="103">
        <v>5</v>
      </c>
      <c r="G66" s="103">
        <v>6</v>
      </c>
      <c r="H66" s="103">
        <v>7</v>
      </c>
      <c r="I66" s="103">
        <v>8</v>
      </c>
      <c r="J66" s="103">
        <v>9</v>
      </c>
      <c r="K66" s="103">
        <v>10</v>
      </c>
      <c r="L66" s="103">
        <v>11</v>
      </c>
      <c r="M66" s="103">
        <v>12</v>
      </c>
      <c r="N66" s="103">
        <v>13</v>
      </c>
      <c r="O66" s="103">
        <v>14</v>
      </c>
      <c r="V66" s="37">
        <v>44982</v>
      </c>
      <c r="X66" s="102"/>
    </row>
    <row r="67" spans="3:24" ht="26.45" customHeight="1" thickBot="1">
      <c r="C67" s="157" t="s">
        <v>48</v>
      </c>
      <c r="D67" s="129" t="s">
        <v>8</v>
      </c>
      <c r="E67" s="130" t="s">
        <v>8</v>
      </c>
      <c r="F67" s="131" t="s">
        <v>8</v>
      </c>
      <c r="G67" s="129" t="s">
        <v>55</v>
      </c>
      <c r="H67" s="130" t="s">
        <v>55</v>
      </c>
      <c r="I67" s="131" t="s">
        <v>55</v>
      </c>
      <c r="J67" s="129" t="s">
        <v>10</v>
      </c>
      <c r="K67" s="130" t="s">
        <v>10</v>
      </c>
      <c r="L67" s="131" t="s">
        <v>10</v>
      </c>
      <c r="M67" s="129" t="s">
        <v>57</v>
      </c>
      <c r="N67" s="130" t="s">
        <v>57</v>
      </c>
      <c r="O67" s="131" t="s">
        <v>57</v>
      </c>
      <c r="V67" s="37">
        <v>44983</v>
      </c>
      <c r="X67" s="102"/>
    </row>
    <row r="68" spans="3:24" ht="18.75">
      <c r="C68" s="132" t="s">
        <v>179</v>
      </c>
      <c r="D68" s="138" t="s">
        <v>2</v>
      </c>
      <c r="E68" s="118" t="s">
        <v>3</v>
      </c>
      <c r="F68" s="122" t="s">
        <v>4</v>
      </c>
      <c r="G68" s="135" t="s">
        <v>2</v>
      </c>
      <c r="H68" s="118" t="s">
        <v>3</v>
      </c>
      <c r="I68" s="152" t="s">
        <v>4</v>
      </c>
      <c r="J68" s="138" t="s">
        <v>2</v>
      </c>
      <c r="K68" s="118" t="s">
        <v>3</v>
      </c>
      <c r="L68" s="122" t="s">
        <v>4</v>
      </c>
      <c r="M68" s="135" t="s">
        <v>2</v>
      </c>
      <c r="N68" s="118" t="s">
        <v>3</v>
      </c>
      <c r="O68" s="122" t="s">
        <v>4</v>
      </c>
      <c r="V68" s="37">
        <v>44984</v>
      </c>
      <c r="X68" s="102"/>
    </row>
    <row r="69" spans="3:24" ht="18.75">
      <c r="C69" s="133" t="s">
        <v>1</v>
      </c>
      <c r="D69" s="139">
        <f>INDEX('Storage Tariffs (East)'!$A$1:$N$210,MATCH($C$67,'Storage Tariffs (East)'!$A$1:$A$210,0),D$66)</f>
        <v>3</v>
      </c>
      <c r="E69" s="120" t="str">
        <f>INDEX('Storage Tariffs (East)'!$A$1:$N$210,MATCH($C$67,'Storage Tariffs (East)'!$A$1:$A$210,0),E$66)</f>
        <v/>
      </c>
      <c r="F69" s="123">
        <f>INDEX('Storage Tariffs (East)'!$A$1:$N$210,MATCH($C$67,'Storage Tariffs (East)'!$A$1:$A$210,0),F$66)</f>
        <v>0</v>
      </c>
      <c r="G69" s="136">
        <f>INDEX('Storage Tariffs (East)'!$A$1:$N$210,MATCH($C$67,'Storage Tariffs (East)'!$A$1:$A$210,0),G$66)</f>
        <v>3</v>
      </c>
      <c r="H69" s="120" t="str">
        <f>INDEX('Storage Tariffs (East)'!$A$1:$N$210,MATCH($C$67,'Storage Tariffs (East)'!$A$1:$A$210,0),H$66)</f>
        <v/>
      </c>
      <c r="I69" s="153">
        <f>INDEX('Storage Tariffs (East)'!$A$1:$N$210,MATCH($C$67,'Storage Tariffs (East)'!$A$1:$A$210,0),I$66)</f>
        <v>0</v>
      </c>
      <c r="J69" s="139">
        <f>INDEX('Storage Tariffs (East)'!$A$1:$N$210,MATCH($C$67,'Storage Tariffs (East)'!$A$1:$A$210,0),J$66)</f>
        <v>3</v>
      </c>
      <c r="K69" s="120" t="str">
        <f>INDEX('Storage Tariffs (East)'!$A$1:$N$210,MATCH($C$67,'Storage Tariffs (East)'!$A$1:$A$210,0),K$66)</f>
        <v/>
      </c>
      <c r="L69" s="123">
        <f>INDEX('Storage Tariffs (East)'!$A$1:$N$210,MATCH($C$67,'Storage Tariffs (East)'!$A$1:$A$210,0),L$66)</f>
        <v>0</v>
      </c>
      <c r="M69" s="136">
        <f>INDEX('Storage Tariffs (East)'!$A$1:$N$210,MATCH($C$67,'Storage Tariffs (East)'!$A$1:$A$210,0),M$66)</f>
        <v>3</v>
      </c>
      <c r="N69" s="120" t="str">
        <f>INDEX('Storage Tariffs (East)'!$A$1:$N$210,MATCH($C$67,'Storage Tariffs (East)'!$A$1:$A$210,0),N$66)</f>
        <v/>
      </c>
      <c r="O69" s="123">
        <f>INDEX('Storage Tariffs (East)'!$A$1:$N$210,MATCH($C$67,'Storage Tariffs (East)'!$A$1:$A$210,0),O$66)</f>
        <v>0</v>
      </c>
      <c r="V69" s="37">
        <v>44985</v>
      </c>
      <c r="X69" s="102"/>
    </row>
    <row r="70" spans="3:24" ht="19.5" thickBot="1">
      <c r="C70" s="182" t="str" cm="1">
        <f t="array" ref="C70">IF((INDEX('Storage Tariffs (East)'!$A:$B,MATCH($C$67,'Storage Tariffs (East)'!$A:$A,0)+1,1)=$C$67),INDEX('Storage Tariffs (East)'!$A:$B,MATCH($C$67,'Storage Tariffs (East)'!$A:$A,0)+1,2),0)</f>
        <v>Thereafter</v>
      </c>
      <c r="D70" s="183">
        <f>INDEX('Storage Tariffs (East)'!$A$1:$N$210,MATCH($C$67,'Storage Tariffs (East)'!$A$1:$A$210,0)+1,D$66)</f>
        <v>9999999</v>
      </c>
      <c r="E70" s="184" t="str">
        <f>INDEX('Storage Tariffs (East)'!$A$1:$N$210,MATCH($C$67,'Storage Tariffs (East)'!$A$1:$A$210,0)+1,E$66)</f>
        <v>EUR</v>
      </c>
      <c r="F70" s="185">
        <f>INDEX('Storage Tariffs (East)'!$A$1:$N$210,MATCH($C$67,'Storage Tariffs (East)'!$A$1:$A$210,0)+1,F$66)</f>
        <v>57</v>
      </c>
      <c r="G70" s="186">
        <f>INDEX('Storage Tariffs (East)'!$A$1:$N$210,MATCH($C$67,'Storage Tariffs (East)'!$A$1:$A$210,0)+1,G$66)</f>
        <v>9999999</v>
      </c>
      <c r="H70" s="184" t="str">
        <f>INDEX('Storage Tariffs (East)'!$A$1:$N$210,MATCH($C$67,'Storage Tariffs (East)'!$A$1:$A$210,0)+1,H$66)</f>
        <v>EUR</v>
      </c>
      <c r="I70" s="187">
        <f>INDEX('Storage Tariffs (East)'!$A$1:$N$210,MATCH($C$67,'Storage Tariffs (East)'!$A$1:$A$210,0)+1,I$66)</f>
        <v>77</v>
      </c>
      <c r="J70" s="183">
        <f>INDEX('Storage Tariffs (East)'!$A$1:$N$210,MATCH($C$67,'Storage Tariffs (East)'!$A$1:$A$210,0)+1,J$66)</f>
        <v>9999999</v>
      </c>
      <c r="K70" s="184" t="str">
        <f>INDEX('Storage Tariffs (East)'!$A$1:$N$210,MATCH($C$67,'Storage Tariffs (East)'!$A$1:$A$210,0)+1,K$66)</f>
        <v>EUR</v>
      </c>
      <c r="L70" s="185">
        <f>INDEX('Storage Tariffs (East)'!$A$1:$N$210,MATCH($C$67,'Storage Tariffs (East)'!$A$1:$A$210,0)+1,L$66)</f>
        <v>155</v>
      </c>
      <c r="M70" s="186">
        <f>INDEX('Storage Tariffs (East)'!$A$1:$N$210,MATCH($C$67,'Storage Tariffs (East)'!$A$1:$A$210,0)+1,M$66)</f>
        <v>9999999</v>
      </c>
      <c r="N70" s="184" t="str">
        <f>INDEX('Storage Tariffs (East)'!$A$1:$N$210,MATCH($C$67,'Storage Tariffs (East)'!$A$1:$A$210,0)+1,N$66)</f>
        <v>EUR</v>
      </c>
      <c r="O70" s="185">
        <f>INDEX('Storage Tariffs (East)'!$A$1:$N$210,MATCH($C$67,'Storage Tariffs (East)'!$A$1:$A$210,0)+1,O$66)</f>
        <v>155</v>
      </c>
      <c r="V70" s="37">
        <v>44986</v>
      </c>
      <c r="X70" s="102"/>
    </row>
    <row r="71" spans="3:24" ht="19.5" thickBot="1">
      <c r="D71" s="103"/>
      <c r="E71" s="103"/>
      <c r="F71" s="103"/>
      <c r="G71" s="103"/>
      <c r="H71" s="103"/>
      <c r="I71" s="103"/>
      <c r="J71" s="103"/>
      <c r="K71" s="103"/>
      <c r="L71" s="103"/>
      <c r="M71" s="103"/>
      <c r="N71" s="103"/>
      <c r="O71" s="103"/>
      <c r="V71" s="37">
        <v>44987</v>
      </c>
      <c r="X71" s="102"/>
    </row>
    <row r="72" spans="3:24" ht="14.45" customHeight="1">
      <c r="C72" s="558" t="s">
        <v>221</v>
      </c>
      <c r="D72" s="559"/>
      <c r="E72" s="559"/>
      <c r="F72" s="559"/>
      <c r="G72" s="559"/>
      <c r="H72" s="559"/>
      <c r="I72" s="559"/>
      <c r="J72" s="559"/>
      <c r="K72" s="559"/>
      <c r="L72" s="559"/>
      <c r="M72" s="559"/>
      <c r="N72" s="559"/>
      <c r="O72" s="560"/>
      <c r="P72" s="104"/>
      <c r="Q72" s="104"/>
      <c r="R72" s="104"/>
      <c r="V72" s="37">
        <v>44988</v>
      </c>
      <c r="X72" s="102"/>
    </row>
    <row r="73" spans="3:24" ht="14.45" customHeight="1">
      <c r="C73" s="561"/>
      <c r="D73" s="562"/>
      <c r="E73" s="562"/>
      <c r="F73" s="562"/>
      <c r="G73" s="562"/>
      <c r="H73" s="562"/>
      <c r="I73" s="562"/>
      <c r="J73" s="562"/>
      <c r="K73" s="562"/>
      <c r="L73" s="562"/>
      <c r="M73" s="562"/>
      <c r="N73" s="562"/>
      <c r="O73" s="563"/>
      <c r="P73" s="104"/>
      <c r="Q73" s="104"/>
      <c r="R73" s="104"/>
      <c r="V73" s="37">
        <v>44989</v>
      </c>
      <c r="X73" s="102"/>
    </row>
    <row r="74" spans="3:24" ht="14.45" customHeight="1">
      <c r="C74" s="561"/>
      <c r="D74" s="562"/>
      <c r="E74" s="562"/>
      <c r="F74" s="562"/>
      <c r="G74" s="562"/>
      <c r="H74" s="562"/>
      <c r="I74" s="562"/>
      <c r="J74" s="562"/>
      <c r="K74" s="562"/>
      <c r="L74" s="562"/>
      <c r="M74" s="562"/>
      <c r="N74" s="562"/>
      <c r="O74" s="563"/>
      <c r="P74" s="104"/>
      <c r="Q74" s="104"/>
      <c r="R74" s="104"/>
      <c r="V74" s="37">
        <v>44990</v>
      </c>
      <c r="X74" s="102"/>
    </row>
    <row r="75" spans="3:24" ht="14.45" customHeight="1">
      <c r="C75" s="561"/>
      <c r="D75" s="562"/>
      <c r="E75" s="562"/>
      <c r="F75" s="562"/>
      <c r="G75" s="562"/>
      <c r="H75" s="562"/>
      <c r="I75" s="562"/>
      <c r="J75" s="562"/>
      <c r="K75" s="562"/>
      <c r="L75" s="562"/>
      <c r="M75" s="562"/>
      <c r="N75" s="562"/>
      <c r="O75" s="563"/>
      <c r="P75" s="104"/>
      <c r="Q75" s="104"/>
      <c r="R75" s="104"/>
      <c r="V75" s="37">
        <v>44991</v>
      </c>
      <c r="X75" s="102"/>
    </row>
    <row r="76" spans="3:24" ht="14.45" customHeight="1">
      <c r="C76" s="561"/>
      <c r="D76" s="562"/>
      <c r="E76" s="562"/>
      <c r="F76" s="562"/>
      <c r="G76" s="562"/>
      <c r="H76" s="562"/>
      <c r="I76" s="562"/>
      <c r="J76" s="562"/>
      <c r="K76" s="562"/>
      <c r="L76" s="562"/>
      <c r="M76" s="562"/>
      <c r="N76" s="562"/>
      <c r="O76" s="563"/>
      <c r="P76" s="104"/>
      <c r="Q76" s="104"/>
      <c r="R76" s="104"/>
      <c r="V76" s="37">
        <v>44992</v>
      </c>
      <c r="X76" s="102"/>
    </row>
    <row r="77" spans="3:24" ht="14.45" customHeight="1">
      <c r="C77" s="561"/>
      <c r="D77" s="562"/>
      <c r="E77" s="562"/>
      <c r="F77" s="562"/>
      <c r="G77" s="562"/>
      <c r="H77" s="562"/>
      <c r="I77" s="562"/>
      <c r="J77" s="562"/>
      <c r="K77" s="562"/>
      <c r="L77" s="562"/>
      <c r="M77" s="562"/>
      <c r="N77" s="562"/>
      <c r="O77" s="563"/>
      <c r="P77" s="104"/>
      <c r="Q77" s="104"/>
      <c r="R77" s="104"/>
      <c r="V77" s="37">
        <v>44993</v>
      </c>
      <c r="X77" s="102"/>
    </row>
    <row r="78" spans="3:24" ht="14.45" customHeight="1">
      <c r="C78" s="561"/>
      <c r="D78" s="562"/>
      <c r="E78" s="562"/>
      <c r="F78" s="562"/>
      <c r="G78" s="562"/>
      <c r="H78" s="562"/>
      <c r="I78" s="562"/>
      <c r="J78" s="562"/>
      <c r="K78" s="562"/>
      <c r="L78" s="562"/>
      <c r="M78" s="562"/>
      <c r="N78" s="562"/>
      <c r="O78" s="563"/>
      <c r="P78" s="104"/>
      <c r="Q78" s="104"/>
      <c r="R78" s="104"/>
      <c r="V78" s="37">
        <v>44994</v>
      </c>
      <c r="X78" s="102"/>
    </row>
    <row r="79" spans="3:24" ht="14.45" customHeight="1">
      <c r="C79" s="561"/>
      <c r="D79" s="562"/>
      <c r="E79" s="562"/>
      <c r="F79" s="562"/>
      <c r="G79" s="562"/>
      <c r="H79" s="562"/>
      <c r="I79" s="562"/>
      <c r="J79" s="562"/>
      <c r="K79" s="562"/>
      <c r="L79" s="562"/>
      <c r="M79" s="562"/>
      <c r="N79" s="562"/>
      <c r="O79" s="563"/>
      <c r="P79" s="104"/>
      <c r="Q79" s="104"/>
      <c r="R79" s="104"/>
      <c r="V79" s="37">
        <v>44995</v>
      </c>
      <c r="X79" s="102"/>
    </row>
    <row r="80" spans="3:24" ht="14.45" customHeight="1">
      <c r="C80" s="561"/>
      <c r="D80" s="562"/>
      <c r="E80" s="562"/>
      <c r="F80" s="562"/>
      <c r="G80" s="562"/>
      <c r="H80" s="562"/>
      <c r="I80" s="562"/>
      <c r="J80" s="562"/>
      <c r="K80" s="562"/>
      <c r="L80" s="562"/>
      <c r="M80" s="562"/>
      <c r="N80" s="562"/>
      <c r="O80" s="563"/>
      <c r="P80" s="104"/>
      <c r="Q80" s="104"/>
      <c r="R80" s="104"/>
      <c r="V80" s="37">
        <v>44996</v>
      </c>
      <c r="X80" s="102"/>
    </row>
    <row r="81" spans="3:22" ht="14.45" customHeight="1">
      <c r="C81" s="561"/>
      <c r="D81" s="562"/>
      <c r="E81" s="562"/>
      <c r="F81" s="562"/>
      <c r="G81" s="562"/>
      <c r="H81" s="562"/>
      <c r="I81" s="562"/>
      <c r="J81" s="562"/>
      <c r="K81" s="562"/>
      <c r="L81" s="562"/>
      <c r="M81" s="562"/>
      <c r="N81" s="562"/>
      <c r="O81" s="563"/>
      <c r="P81" s="104"/>
      <c r="Q81" s="104"/>
      <c r="R81" s="104"/>
      <c r="V81" s="37">
        <v>44997</v>
      </c>
    </row>
    <row r="82" spans="3:22" ht="14.45" customHeight="1">
      <c r="C82" s="561"/>
      <c r="D82" s="562"/>
      <c r="E82" s="562"/>
      <c r="F82" s="562"/>
      <c r="G82" s="562"/>
      <c r="H82" s="562"/>
      <c r="I82" s="562"/>
      <c r="J82" s="562"/>
      <c r="K82" s="562"/>
      <c r="L82" s="562"/>
      <c r="M82" s="562"/>
      <c r="N82" s="562"/>
      <c r="O82" s="563"/>
      <c r="P82" s="104"/>
      <c r="Q82" s="104"/>
      <c r="R82" s="104"/>
      <c r="V82" s="37">
        <v>44998</v>
      </c>
    </row>
    <row r="83" spans="3:22" ht="14.45" customHeight="1">
      <c r="C83" s="561"/>
      <c r="D83" s="562"/>
      <c r="E83" s="562"/>
      <c r="F83" s="562"/>
      <c r="G83" s="562"/>
      <c r="H83" s="562"/>
      <c r="I83" s="562"/>
      <c r="J83" s="562"/>
      <c r="K83" s="562"/>
      <c r="L83" s="562"/>
      <c r="M83" s="562"/>
      <c r="N83" s="562"/>
      <c r="O83" s="563"/>
      <c r="P83" s="104"/>
      <c r="Q83" s="104"/>
      <c r="R83" s="104"/>
      <c r="V83" s="37">
        <v>44999</v>
      </c>
    </row>
    <row r="84" spans="3:22" ht="14.45" customHeight="1">
      <c r="C84" s="561"/>
      <c r="D84" s="562"/>
      <c r="E84" s="562"/>
      <c r="F84" s="562"/>
      <c r="G84" s="562"/>
      <c r="H84" s="562"/>
      <c r="I84" s="562"/>
      <c r="J84" s="562"/>
      <c r="K84" s="562"/>
      <c r="L84" s="562"/>
      <c r="M84" s="562"/>
      <c r="N84" s="562"/>
      <c r="O84" s="563"/>
      <c r="P84" s="104"/>
      <c r="Q84" s="104"/>
      <c r="R84" s="104"/>
      <c r="V84" s="37">
        <v>45000</v>
      </c>
    </row>
    <row r="85" spans="3:22" ht="14.45" customHeight="1">
      <c r="C85" s="561"/>
      <c r="D85" s="562"/>
      <c r="E85" s="562"/>
      <c r="F85" s="562"/>
      <c r="G85" s="562"/>
      <c r="H85" s="562"/>
      <c r="I85" s="562"/>
      <c r="J85" s="562"/>
      <c r="K85" s="562"/>
      <c r="L85" s="562"/>
      <c r="M85" s="562"/>
      <c r="N85" s="562"/>
      <c r="O85" s="563"/>
      <c r="P85" s="104"/>
      <c r="Q85" s="104"/>
      <c r="R85" s="104"/>
      <c r="V85" s="37">
        <v>45001</v>
      </c>
    </row>
    <row r="86" spans="3:22" ht="14.45" customHeight="1">
      <c r="C86" s="561"/>
      <c r="D86" s="562"/>
      <c r="E86" s="562"/>
      <c r="F86" s="562"/>
      <c r="G86" s="562"/>
      <c r="H86" s="562"/>
      <c r="I86" s="562"/>
      <c r="J86" s="562"/>
      <c r="K86" s="562"/>
      <c r="L86" s="562"/>
      <c r="M86" s="562"/>
      <c r="N86" s="562"/>
      <c r="O86" s="563"/>
      <c r="P86" s="104"/>
      <c r="Q86" s="104"/>
      <c r="R86" s="104"/>
      <c r="V86" s="37">
        <v>45002</v>
      </c>
    </row>
    <row r="87" spans="3:22" ht="14.45" customHeight="1" thickBot="1">
      <c r="C87" s="564"/>
      <c r="D87" s="565"/>
      <c r="E87" s="565"/>
      <c r="F87" s="565"/>
      <c r="G87" s="565"/>
      <c r="H87" s="565"/>
      <c r="I87" s="565"/>
      <c r="J87" s="565"/>
      <c r="K87" s="565"/>
      <c r="L87" s="565"/>
      <c r="M87" s="565"/>
      <c r="N87" s="565"/>
      <c r="O87" s="566"/>
      <c r="P87" s="104"/>
      <c r="Q87" s="104"/>
      <c r="R87" s="104"/>
      <c r="V87" s="37">
        <v>45003</v>
      </c>
    </row>
    <row r="88" spans="3:22" ht="14.45" customHeight="1">
      <c r="D88" s="104"/>
      <c r="E88" s="104"/>
      <c r="F88" s="104"/>
      <c r="G88" s="104"/>
      <c r="H88" s="104"/>
      <c r="I88" s="104"/>
      <c r="J88" s="104"/>
      <c r="K88" s="104"/>
      <c r="L88" s="104"/>
      <c r="M88" s="104"/>
      <c r="N88" s="104"/>
      <c r="O88" s="104"/>
      <c r="P88" s="104"/>
      <c r="Q88" s="104"/>
      <c r="R88" s="104"/>
      <c r="V88" s="37">
        <v>45004</v>
      </c>
    </row>
    <row r="89" spans="3:22" ht="14.45" customHeight="1">
      <c r="D89" s="104"/>
      <c r="E89" s="104"/>
      <c r="F89" s="104"/>
      <c r="G89" s="104"/>
      <c r="H89" s="104"/>
      <c r="I89" s="104"/>
      <c r="J89" s="104"/>
      <c r="K89" s="104"/>
      <c r="L89" s="104"/>
      <c r="M89" s="104"/>
      <c r="N89" s="104"/>
      <c r="O89" s="104"/>
      <c r="P89" s="104"/>
      <c r="Q89" s="104"/>
      <c r="R89" s="104"/>
      <c r="V89" s="37">
        <v>45005</v>
      </c>
    </row>
    <row r="90" spans="3:22" ht="14.45" customHeight="1">
      <c r="D90" s="104"/>
      <c r="E90" s="104"/>
      <c r="F90" s="104"/>
      <c r="G90" s="104"/>
      <c r="H90" s="104"/>
      <c r="I90" s="104"/>
      <c r="J90" s="104"/>
      <c r="K90" s="104"/>
      <c r="L90" s="104"/>
      <c r="M90" s="104"/>
      <c r="N90" s="104"/>
      <c r="O90" s="104"/>
      <c r="P90" s="104"/>
      <c r="Q90" s="104"/>
      <c r="R90" s="104"/>
      <c r="V90" s="37">
        <v>45006</v>
      </c>
    </row>
    <row r="91" spans="3:22" ht="14.45" customHeight="1">
      <c r="D91" s="104"/>
      <c r="E91" s="104"/>
      <c r="F91" s="104"/>
      <c r="G91" s="104"/>
      <c r="H91" s="104"/>
      <c r="I91" s="104"/>
      <c r="J91" s="104"/>
      <c r="K91" s="104"/>
      <c r="L91" s="104"/>
      <c r="M91" s="104"/>
      <c r="N91" s="104"/>
      <c r="O91" s="104"/>
      <c r="P91" s="104"/>
      <c r="Q91" s="104"/>
      <c r="R91" s="104"/>
      <c r="V91" s="37">
        <v>45007</v>
      </c>
    </row>
    <row r="92" spans="3:22" ht="14.45" customHeight="1">
      <c r="D92" s="104"/>
      <c r="E92" s="104"/>
      <c r="F92" s="104"/>
      <c r="G92" s="104"/>
      <c r="H92" s="104"/>
      <c r="I92" s="104"/>
      <c r="J92" s="104"/>
      <c r="K92" s="104"/>
      <c r="L92" s="104"/>
      <c r="M92" s="104"/>
      <c r="N92" s="104"/>
      <c r="O92" s="104"/>
      <c r="P92" s="104"/>
      <c r="Q92" s="104"/>
      <c r="R92" s="104"/>
      <c r="V92" s="37">
        <v>45008</v>
      </c>
    </row>
    <row r="93" spans="3:22" ht="14.45" customHeight="1">
      <c r="D93" s="104"/>
      <c r="E93" s="104"/>
      <c r="F93" s="104"/>
      <c r="G93" s="104"/>
      <c r="H93" s="104"/>
      <c r="I93" s="104"/>
      <c r="J93" s="104"/>
      <c r="K93" s="104"/>
      <c r="L93" s="104"/>
      <c r="M93" s="104"/>
      <c r="N93" s="104"/>
      <c r="O93" s="104"/>
      <c r="P93" s="104"/>
      <c r="Q93" s="104"/>
      <c r="R93" s="104"/>
      <c r="V93" s="37">
        <v>45009</v>
      </c>
    </row>
    <row r="94" spans="3:22">
      <c r="V94" s="37">
        <v>45010</v>
      </c>
    </row>
    <row r="95" spans="3:22">
      <c r="V95" s="37">
        <v>45011</v>
      </c>
    </row>
    <row r="96" spans="3:22">
      <c r="V96" s="37">
        <v>45012</v>
      </c>
    </row>
    <row r="97" spans="22:22">
      <c r="V97" s="37">
        <v>45013</v>
      </c>
    </row>
    <row r="98" spans="22:22">
      <c r="V98" s="37">
        <v>45014</v>
      </c>
    </row>
    <row r="99" spans="22:22">
      <c r="V99" s="37">
        <v>45015</v>
      </c>
    </row>
    <row r="100" spans="22:22">
      <c r="V100" s="37">
        <v>45016</v>
      </c>
    </row>
    <row r="101" spans="22:22">
      <c r="V101" s="37">
        <v>45017</v>
      </c>
    </row>
    <row r="102" spans="22:22">
      <c r="V102" s="37">
        <v>45018</v>
      </c>
    </row>
    <row r="103" spans="22:22">
      <c r="V103" s="37">
        <v>45019</v>
      </c>
    </row>
    <row r="104" spans="22:22">
      <c r="V104" s="37">
        <v>45020</v>
      </c>
    </row>
    <row r="105" spans="22:22">
      <c r="V105" s="37">
        <v>45021</v>
      </c>
    </row>
    <row r="106" spans="22:22">
      <c r="V106" s="37">
        <v>45022</v>
      </c>
    </row>
    <row r="107" spans="22:22">
      <c r="V107" s="37">
        <v>45023</v>
      </c>
    </row>
    <row r="108" spans="22:22">
      <c r="V108" s="37">
        <v>45024</v>
      </c>
    </row>
    <row r="109" spans="22:22">
      <c r="V109" s="37">
        <v>45025</v>
      </c>
    </row>
    <row r="110" spans="22:22">
      <c r="V110" s="37">
        <v>45026</v>
      </c>
    </row>
    <row r="111" spans="22:22">
      <c r="V111" s="37">
        <v>45027</v>
      </c>
    </row>
    <row r="112" spans="22:22">
      <c r="V112" s="37">
        <v>45028</v>
      </c>
    </row>
    <row r="113" spans="22:22">
      <c r="V113" s="37">
        <v>45029</v>
      </c>
    </row>
    <row r="114" spans="22:22">
      <c r="V114" s="37">
        <v>45030</v>
      </c>
    </row>
    <row r="115" spans="22:22">
      <c r="V115" s="37">
        <v>45031</v>
      </c>
    </row>
    <row r="116" spans="22:22">
      <c r="V116" s="37">
        <v>45032</v>
      </c>
    </row>
    <row r="117" spans="22:22">
      <c r="V117" s="37">
        <v>45033</v>
      </c>
    </row>
    <row r="118" spans="22:22">
      <c r="V118" s="37">
        <v>45034</v>
      </c>
    </row>
    <row r="119" spans="22:22">
      <c r="V119" s="37">
        <v>45035</v>
      </c>
    </row>
    <row r="120" spans="22:22">
      <c r="V120" s="37">
        <v>45036</v>
      </c>
    </row>
    <row r="121" spans="22:22">
      <c r="V121" s="37">
        <v>45037</v>
      </c>
    </row>
    <row r="122" spans="22:22">
      <c r="V122" s="37">
        <v>45038</v>
      </c>
    </row>
    <row r="123" spans="22:22">
      <c r="V123" s="37">
        <v>45039</v>
      </c>
    </row>
    <row r="124" spans="22:22">
      <c r="V124" s="37">
        <v>45040</v>
      </c>
    </row>
    <row r="125" spans="22:22">
      <c r="V125" s="37">
        <v>45041</v>
      </c>
    </row>
    <row r="126" spans="22:22">
      <c r="V126" s="37">
        <v>45042</v>
      </c>
    </row>
    <row r="127" spans="22:22">
      <c r="V127" s="37">
        <v>45043</v>
      </c>
    </row>
    <row r="128" spans="22:22">
      <c r="V128" s="37">
        <v>45044</v>
      </c>
    </row>
    <row r="129" spans="22:22">
      <c r="V129" s="37">
        <v>45045</v>
      </c>
    </row>
    <row r="130" spans="22:22">
      <c r="V130" s="37">
        <v>45046</v>
      </c>
    </row>
    <row r="131" spans="22:22">
      <c r="V131" s="37">
        <v>45047</v>
      </c>
    </row>
    <row r="132" spans="22:22">
      <c r="V132" s="37">
        <v>45048</v>
      </c>
    </row>
    <row r="133" spans="22:22">
      <c r="V133" s="37">
        <v>45049</v>
      </c>
    </row>
    <row r="134" spans="22:22">
      <c r="V134" s="37">
        <v>45050</v>
      </c>
    </row>
    <row r="135" spans="22:22">
      <c r="V135" s="37">
        <v>45051</v>
      </c>
    </row>
    <row r="136" spans="22:22">
      <c r="V136" s="37">
        <v>45052</v>
      </c>
    </row>
    <row r="137" spans="22:22">
      <c r="V137" s="37">
        <v>45053</v>
      </c>
    </row>
    <row r="138" spans="22:22">
      <c r="V138" s="37">
        <v>45054</v>
      </c>
    </row>
    <row r="139" spans="22:22">
      <c r="V139" s="37">
        <v>45055</v>
      </c>
    </row>
    <row r="140" spans="22:22">
      <c r="V140" s="37">
        <v>45056</v>
      </c>
    </row>
    <row r="141" spans="22:22">
      <c r="V141" s="37">
        <v>45057</v>
      </c>
    </row>
    <row r="142" spans="22:22">
      <c r="V142" s="37">
        <v>45058</v>
      </c>
    </row>
    <row r="143" spans="22:22">
      <c r="V143" s="37">
        <v>45059</v>
      </c>
    </row>
    <row r="144" spans="22:22">
      <c r="V144" s="37">
        <v>45060</v>
      </c>
    </row>
    <row r="145" spans="22:22">
      <c r="V145" s="37">
        <v>45061</v>
      </c>
    </row>
    <row r="146" spans="22:22">
      <c r="V146" s="37">
        <v>45062</v>
      </c>
    </row>
    <row r="147" spans="22:22">
      <c r="V147" s="37">
        <v>45063</v>
      </c>
    </row>
    <row r="148" spans="22:22">
      <c r="V148" s="37">
        <v>45064</v>
      </c>
    </row>
    <row r="149" spans="22:22">
      <c r="V149" s="37">
        <v>45065</v>
      </c>
    </row>
    <row r="150" spans="22:22">
      <c r="V150" s="37">
        <v>45066</v>
      </c>
    </row>
    <row r="151" spans="22:22">
      <c r="V151" s="37">
        <v>45067</v>
      </c>
    </row>
    <row r="152" spans="22:22">
      <c r="V152" s="37">
        <v>45068</v>
      </c>
    </row>
    <row r="153" spans="22:22">
      <c r="V153" s="37">
        <v>45069</v>
      </c>
    </row>
    <row r="154" spans="22:22">
      <c r="V154" s="37">
        <v>45070</v>
      </c>
    </row>
    <row r="155" spans="22:22">
      <c r="V155" s="37">
        <v>45071</v>
      </c>
    </row>
    <row r="156" spans="22:22">
      <c r="V156" s="37">
        <v>45072</v>
      </c>
    </row>
    <row r="157" spans="22:22">
      <c r="V157" s="37">
        <v>45073</v>
      </c>
    </row>
    <row r="158" spans="22:22">
      <c r="V158" s="37">
        <v>45074</v>
      </c>
    </row>
    <row r="159" spans="22:22">
      <c r="V159" s="37">
        <v>45075</v>
      </c>
    </row>
    <row r="160" spans="22:22">
      <c r="V160" s="37">
        <v>45076</v>
      </c>
    </row>
    <row r="161" spans="22:22">
      <c r="V161" s="37">
        <v>45077</v>
      </c>
    </row>
    <row r="162" spans="22:22">
      <c r="V162" s="37">
        <v>45078</v>
      </c>
    </row>
    <row r="163" spans="22:22">
      <c r="V163" s="37">
        <v>45079</v>
      </c>
    </row>
    <row r="164" spans="22:22">
      <c r="V164" s="37">
        <v>45080</v>
      </c>
    </row>
    <row r="165" spans="22:22">
      <c r="V165" s="37">
        <v>45081</v>
      </c>
    </row>
    <row r="166" spans="22:22">
      <c r="V166" s="37">
        <v>45082</v>
      </c>
    </row>
    <row r="167" spans="22:22">
      <c r="V167" s="37">
        <v>45083</v>
      </c>
    </row>
    <row r="168" spans="22:22">
      <c r="V168" s="37">
        <v>45084</v>
      </c>
    </row>
    <row r="169" spans="22:22">
      <c r="V169" s="37">
        <v>45085</v>
      </c>
    </row>
    <row r="170" spans="22:22">
      <c r="V170" s="37">
        <v>45086</v>
      </c>
    </row>
    <row r="171" spans="22:22">
      <c r="V171" s="37">
        <v>45087</v>
      </c>
    </row>
    <row r="172" spans="22:22">
      <c r="V172" s="37">
        <v>45088</v>
      </c>
    </row>
    <row r="173" spans="22:22">
      <c r="V173" s="37">
        <v>45089</v>
      </c>
    </row>
    <row r="174" spans="22:22">
      <c r="V174" s="37">
        <v>45090</v>
      </c>
    </row>
    <row r="175" spans="22:22">
      <c r="V175" s="37">
        <v>45091</v>
      </c>
    </row>
    <row r="176" spans="22:22">
      <c r="V176" s="37">
        <v>45092</v>
      </c>
    </row>
    <row r="177" spans="22:22">
      <c r="V177" s="37">
        <v>45093</v>
      </c>
    </row>
    <row r="178" spans="22:22">
      <c r="V178" s="37">
        <v>45094</v>
      </c>
    </row>
    <row r="179" spans="22:22">
      <c r="V179" s="37">
        <v>45095</v>
      </c>
    </row>
    <row r="180" spans="22:22">
      <c r="V180" s="37">
        <v>45096</v>
      </c>
    </row>
    <row r="181" spans="22:22">
      <c r="V181" s="37">
        <v>45097</v>
      </c>
    </row>
    <row r="182" spans="22:22">
      <c r="V182" s="37">
        <v>45098</v>
      </c>
    </row>
    <row r="183" spans="22:22">
      <c r="V183" s="37">
        <v>45099</v>
      </c>
    </row>
    <row r="184" spans="22:22">
      <c r="V184" s="37">
        <v>45100</v>
      </c>
    </row>
    <row r="185" spans="22:22">
      <c r="V185" s="37">
        <v>45101</v>
      </c>
    </row>
    <row r="186" spans="22:22">
      <c r="V186" s="37">
        <v>45102</v>
      </c>
    </row>
    <row r="187" spans="22:22">
      <c r="V187" s="37">
        <v>45103</v>
      </c>
    </row>
    <row r="188" spans="22:22">
      <c r="V188" s="37">
        <v>45104</v>
      </c>
    </row>
    <row r="189" spans="22:22">
      <c r="V189" s="37">
        <v>45105</v>
      </c>
    </row>
    <row r="190" spans="22:22">
      <c r="V190" s="37">
        <v>45106</v>
      </c>
    </row>
    <row r="191" spans="22:22">
      <c r="V191" s="37">
        <v>45107</v>
      </c>
    </row>
    <row r="192" spans="22:22">
      <c r="V192" s="37">
        <v>45108</v>
      </c>
    </row>
    <row r="193" spans="22:22">
      <c r="V193" s="37">
        <v>45109</v>
      </c>
    </row>
    <row r="194" spans="22:22">
      <c r="V194" s="37">
        <v>45110</v>
      </c>
    </row>
    <row r="195" spans="22:22">
      <c r="V195" s="37">
        <v>45111</v>
      </c>
    </row>
    <row r="196" spans="22:22">
      <c r="V196" s="37">
        <v>45112</v>
      </c>
    </row>
    <row r="197" spans="22:22">
      <c r="V197" s="37">
        <v>45113</v>
      </c>
    </row>
    <row r="198" spans="22:22">
      <c r="V198" s="37">
        <v>45114</v>
      </c>
    </row>
    <row r="199" spans="22:22">
      <c r="V199" s="37">
        <v>45115</v>
      </c>
    </row>
    <row r="200" spans="22:22">
      <c r="V200" s="37">
        <v>45116</v>
      </c>
    </row>
    <row r="201" spans="22:22">
      <c r="V201" s="37">
        <v>45117</v>
      </c>
    </row>
    <row r="202" spans="22:22">
      <c r="V202" s="37">
        <v>45118</v>
      </c>
    </row>
    <row r="203" spans="22:22">
      <c r="V203" s="37">
        <v>45119</v>
      </c>
    </row>
    <row r="204" spans="22:22">
      <c r="V204" s="37">
        <v>45120</v>
      </c>
    </row>
    <row r="205" spans="22:22">
      <c r="V205" s="37">
        <v>45121</v>
      </c>
    </row>
    <row r="206" spans="22:22">
      <c r="V206" s="37">
        <v>45122</v>
      </c>
    </row>
    <row r="207" spans="22:22">
      <c r="V207" s="37">
        <v>45123</v>
      </c>
    </row>
    <row r="208" spans="22:22">
      <c r="V208" s="37">
        <v>45124</v>
      </c>
    </row>
    <row r="209" spans="22:22">
      <c r="V209" s="37">
        <v>45125</v>
      </c>
    </row>
    <row r="210" spans="22:22">
      <c r="V210" s="37">
        <v>45126</v>
      </c>
    </row>
    <row r="211" spans="22:22">
      <c r="V211" s="37">
        <v>45127</v>
      </c>
    </row>
    <row r="212" spans="22:22">
      <c r="V212" s="37">
        <v>45128</v>
      </c>
    </row>
    <row r="213" spans="22:22">
      <c r="V213" s="37">
        <v>45129</v>
      </c>
    </row>
    <row r="214" spans="22:22">
      <c r="V214" s="37">
        <v>45130</v>
      </c>
    </row>
    <row r="215" spans="22:22">
      <c r="V215" s="37">
        <v>45131</v>
      </c>
    </row>
    <row r="216" spans="22:22">
      <c r="V216" s="37">
        <v>45132</v>
      </c>
    </row>
    <row r="217" spans="22:22">
      <c r="V217" s="37">
        <v>45133</v>
      </c>
    </row>
    <row r="218" spans="22:22">
      <c r="V218" s="37">
        <v>45134</v>
      </c>
    </row>
    <row r="219" spans="22:22">
      <c r="V219" s="37">
        <v>45135</v>
      </c>
    </row>
    <row r="220" spans="22:22">
      <c r="V220" s="37">
        <v>45136</v>
      </c>
    </row>
    <row r="221" spans="22:22">
      <c r="V221" s="37">
        <v>45137</v>
      </c>
    </row>
    <row r="222" spans="22:22">
      <c r="V222" s="37">
        <v>45138</v>
      </c>
    </row>
    <row r="223" spans="22:22">
      <c r="V223" s="37">
        <v>45139</v>
      </c>
    </row>
    <row r="224" spans="22:22">
      <c r="V224" s="37">
        <v>45140</v>
      </c>
    </row>
    <row r="225" spans="22:22">
      <c r="V225" s="37">
        <v>45141</v>
      </c>
    </row>
    <row r="226" spans="22:22">
      <c r="V226" s="37">
        <v>45142</v>
      </c>
    </row>
    <row r="227" spans="22:22">
      <c r="V227" s="37">
        <v>45143</v>
      </c>
    </row>
    <row r="228" spans="22:22">
      <c r="V228" s="37">
        <v>45144</v>
      </c>
    </row>
    <row r="229" spans="22:22">
      <c r="V229" s="37">
        <v>45145</v>
      </c>
    </row>
    <row r="230" spans="22:22">
      <c r="V230" s="37">
        <v>45146</v>
      </c>
    </row>
    <row r="231" spans="22:22">
      <c r="V231" s="37">
        <v>45147</v>
      </c>
    </row>
    <row r="232" spans="22:22">
      <c r="V232" s="37">
        <v>45148</v>
      </c>
    </row>
    <row r="233" spans="22:22">
      <c r="V233" s="37">
        <v>45149</v>
      </c>
    </row>
    <row r="234" spans="22:22">
      <c r="V234" s="37">
        <v>45150</v>
      </c>
    </row>
    <row r="235" spans="22:22">
      <c r="V235" s="37">
        <v>45151</v>
      </c>
    </row>
    <row r="236" spans="22:22">
      <c r="V236" s="37">
        <v>45152</v>
      </c>
    </row>
    <row r="237" spans="22:22">
      <c r="V237" s="37">
        <v>45153</v>
      </c>
    </row>
    <row r="238" spans="22:22">
      <c r="V238" s="37">
        <v>45154</v>
      </c>
    </row>
    <row r="239" spans="22:22">
      <c r="V239" s="37">
        <v>45155</v>
      </c>
    </row>
    <row r="240" spans="22:22">
      <c r="V240" s="37">
        <v>45156</v>
      </c>
    </row>
    <row r="241" spans="22:22">
      <c r="V241" s="37">
        <v>45157</v>
      </c>
    </row>
    <row r="242" spans="22:22">
      <c r="V242" s="37">
        <v>45158</v>
      </c>
    </row>
    <row r="243" spans="22:22">
      <c r="V243" s="37">
        <v>45159</v>
      </c>
    </row>
    <row r="244" spans="22:22">
      <c r="V244" s="37">
        <v>45160</v>
      </c>
    </row>
    <row r="245" spans="22:22">
      <c r="V245" s="37">
        <v>45161</v>
      </c>
    </row>
    <row r="246" spans="22:22">
      <c r="V246" s="37">
        <v>45162</v>
      </c>
    </row>
    <row r="247" spans="22:22">
      <c r="V247" s="37">
        <v>45163</v>
      </c>
    </row>
    <row r="248" spans="22:22">
      <c r="V248" s="37">
        <v>45164</v>
      </c>
    </row>
    <row r="249" spans="22:22">
      <c r="V249" s="37">
        <v>45165</v>
      </c>
    </row>
    <row r="250" spans="22:22">
      <c r="V250" s="37">
        <v>45166</v>
      </c>
    </row>
    <row r="251" spans="22:22">
      <c r="V251" s="37">
        <v>45167</v>
      </c>
    </row>
    <row r="252" spans="22:22">
      <c r="V252" s="37">
        <v>45168</v>
      </c>
    </row>
    <row r="253" spans="22:22">
      <c r="V253" s="37">
        <v>45169</v>
      </c>
    </row>
    <row r="254" spans="22:22">
      <c r="V254" s="37">
        <v>45170</v>
      </c>
    </row>
    <row r="255" spans="22:22">
      <c r="V255" s="37">
        <v>45171</v>
      </c>
    </row>
    <row r="256" spans="22:22">
      <c r="V256" s="37">
        <v>45172</v>
      </c>
    </row>
    <row r="257" spans="22:22">
      <c r="V257" s="37">
        <v>45173</v>
      </c>
    </row>
    <row r="258" spans="22:22">
      <c r="V258" s="37">
        <v>45174</v>
      </c>
    </row>
    <row r="259" spans="22:22">
      <c r="V259" s="37">
        <v>45175</v>
      </c>
    </row>
    <row r="260" spans="22:22">
      <c r="V260" s="37">
        <v>45176</v>
      </c>
    </row>
    <row r="261" spans="22:22">
      <c r="V261" s="37">
        <v>45177</v>
      </c>
    </row>
    <row r="262" spans="22:22">
      <c r="V262" s="37">
        <v>45178</v>
      </c>
    </row>
    <row r="263" spans="22:22">
      <c r="V263" s="37">
        <v>45179</v>
      </c>
    </row>
    <row r="264" spans="22:22">
      <c r="V264" s="37">
        <v>45180</v>
      </c>
    </row>
    <row r="265" spans="22:22">
      <c r="V265" s="37">
        <v>45181</v>
      </c>
    </row>
    <row r="266" spans="22:22">
      <c r="V266" s="37">
        <v>45182</v>
      </c>
    </row>
    <row r="267" spans="22:22">
      <c r="V267" s="37">
        <v>45183</v>
      </c>
    </row>
    <row r="268" spans="22:22">
      <c r="V268" s="37">
        <v>45184</v>
      </c>
    </row>
    <row r="269" spans="22:22">
      <c r="V269" s="37">
        <v>45185</v>
      </c>
    </row>
    <row r="270" spans="22:22">
      <c r="V270" s="37">
        <v>45186</v>
      </c>
    </row>
    <row r="271" spans="22:22">
      <c r="V271" s="37">
        <v>45187</v>
      </c>
    </row>
    <row r="272" spans="22:22">
      <c r="V272" s="37">
        <v>45188</v>
      </c>
    </row>
    <row r="273" spans="22:22">
      <c r="V273" s="37">
        <v>45189</v>
      </c>
    </row>
    <row r="274" spans="22:22">
      <c r="V274" s="37">
        <v>45190</v>
      </c>
    </row>
    <row r="275" spans="22:22">
      <c r="V275" s="37">
        <v>45191</v>
      </c>
    </row>
    <row r="276" spans="22:22">
      <c r="V276" s="37">
        <v>45192</v>
      </c>
    </row>
    <row r="277" spans="22:22">
      <c r="V277" s="37">
        <v>45193</v>
      </c>
    </row>
    <row r="278" spans="22:22">
      <c r="V278" s="37">
        <v>45194</v>
      </c>
    </row>
    <row r="279" spans="22:22">
      <c r="V279" s="37">
        <v>45195</v>
      </c>
    </row>
    <row r="280" spans="22:22">
      <c r="V280" s="37">
        <v>45196</v>
      </c>
    </row>
    <row r="281" spans="22:22">
      <c r="V281" s="37">
        <v>45197</v>
      </c>
    </row>
    <row r="282" spans="22:22">
      <c r="V282" s="37">
        <v>45198</v>
      </c>
    </row>
    <row r="283" spans="22:22">
      <c r="V283" s="37">
        <v>45199</v>
      </c>
    </row>
    <row r="284" spans="22:22">
      <c r="V284" s="37">
        <v>45200</v>
      </c>
    </row>
    <row r="285" spans="22:22">
      <c r="V285" s="37">
        <v>45201</v>
      </c>
    </row>
    <row r="286" spans="22:22">
      <c r="V286" s="37">
        <v>45202</v>
      </c>
    </row>
    <row r="287" spans="22:22">
      <c r="V287" s="37">
        <v>45203</v>
      </c>
    </row>
    <row r="288" spans="22:22">
      <c r="V288" s="37">
        <v>45204</v>
      </c>
    </row>
    <row r="289" spans="22:22">
      <c r="V289" s="37">
        <v>45205</v>
      </c>
    </row>
    <row r="290" spans="22:22">
      <c r="V290" s="37">
        <v>45206</v>
      </c>
    </row>
    <row r="291" spans="22:22">
      <c r="V291" s="37">
        <v>45207</v>
      </c>
    </row>
    <row r="292" spans="22:22">
      <c r="V292" s="37">
        <v>45208</v>
      </c>
    </row>
    <row r="293" spans="22:22">
      <c r="V293" s="37">
        <v>45209</v>
      </c>
    </row>
    <row r="294" spans="22:22">
      <c r="V294" s="37">
        <v>45210</v>
      </c>
    </row>
    <row r="295" spans="22:22">
      <c r="V295" s="37">
        <v>45211</v>
      </c>
    </row>
    <row r="296" spans="22:22">
      <c r="V296" s="37">
        <v>45212</v>
      </c>
    </row>
    <row r="297" spans="22:22">
      <c r="V297" s="37">
        <v>45213</v>
      </c>
    </row>
    <row r="298" spans="22:22">
      <c r="V298" s="37">
        <v>45214</v>
      </c>
    </row>
    <row r="299" spans="22:22">
      <c r="V299" s="37">
        <v>45215</v>
      </c>
    </row>
    <row r="300" spans="22:22">
      <c r="V300" s="37">
        <v>45216</v>
      </c>
    </row>
    <row r="301" spans="22:22">
      <c r="V301" s="37">
        <v>45217</v>
      </c>
    </row>
    <row r="302" spans="22:22">
      <c r="V302" s="37">
        <v>45218</v>
      </c>
    </row>
    <row r="303" spans="22:22">
      <c r="V303" s="37">
        <v>45219</v>
      </c>
    </row>
    <row r="304" spans="22:22">
      <c r="V304" s="37">
        <v>45220</v>
      </c>
    </row>
    <row r="305" spans="22:22">
      <c r="V305" s="37">
        <v>45221</v>
      </c>
    </row>
    <row r="306" spans="22:22">
      <c r="V306" s="37">
        <v>45222</v>
      </c>
    </row>
    <row r="307" spans="22:22">
      <c r="V307" s="37">
        <v>45223</v>
      </c>
    </row>
    <row r="308" spans="22:22">
      <c r="V308" s="37">
        <v>45224</v>
      </c>
    </row>
    <row r="309" spans="22:22">
      <c r="V309" s="37">
        <v>45225</v>
      </c>
    </row>
    <row r="310" spans="22:22">
      <c r="V310" s="37">
        <v>45226</v>
      </c>
    </row>
    <row r="311" spans="22:22">
      <c r="V311" s="37">
        <v>45227</v>
      </c>
    </row>
    <row r="312" spans="22:22">
      <c r="V312" s="37">
        <v>45228</v>
      </c>
    </row>
    <row r="313" spans="22:22">
      <c r="V313" s="37">
        <v>45229</v>
      </c>
    </row>
    <row r="314" spans="22:22">
      <c r="V314" s="37">
        <v>45230</v>
      </c>
    </row>
    <row r="315" spans="22:22">
      <c r="V315" s="37">
        <v>45231</v>
      </c>
    </row>
    <row r="316" spans="22:22">
      <c r="V316" s="37">
        <v>45232</v>
      </c>
    </row>
    <row r="317" spans="22:22">
      <c r="V317" s="37">
        <v>45233</v>
      </c>
    </row>
    <row r="318" spans="22:22">
      <c r="V318" s="37">
        <v>45234</v>
      </c>
    </row>
    <row r="319" spans="22:22">
      <c r="V319" s="37">
        <v>45235</v>
      </c>
    </row>
    <row r="320" spans="22:22">
      <c r="V320" s="37">
        <v>45236</v>
      </c>
    </row>
    <row r="321" spans="22:22">
      <c r="V321" s="37">
        <v>45237</v>
      </c>
    </row>
    <row r="322" spans="22:22">
      <c r="V322" s="37">
        <v>45238</v>
      </c>
    </row>
    <row r="323" spans="22:22">
      <c r="V323" s="37">
        <v>45239</v>
      </c>
    </row>
    <row r="324" spans="22:22">
      <c r="V324" s="37">
        <v>45240</v>
      </c>
    </row>
    <row r="325" spans="22:22">
      <c r="V325" s="37">
        <v>45241</v>
      </c>
    </row>
    <row r="326" spans="22:22">
      <c r="V326" s="37">
        <v>45242</v>
      </c>
    </row>
    <row r="327" spans="22:22">
      <c r="V327" s="37">
        <v>45243</v>
      </c>
    </row>
    <row r="328" spans="22:22">
      <c r="V328" s="37">
        <v>45244</v>
      </c>
    </row>
    <row r="329" spans="22:22">
      <c r="V329" s="37">
        <v>45245</v>
      </c>
    </row>
    <row r="330" spans="22:22">
      <c r="V330" s="37">
        <v>45246</v>
      </c>
    </row>
    <row r="331" spans="22:22">
      <c r="V331" s="37">
        <v>45247</v>
      </c>
    </row>
    <row r="332" spans="22:22">
      <c r="V332" s="37">
        <v>45248</v>
      </c>
    </row>
    <row r="333" spans="22:22">
      <c r="V333" s="37">
        <v>45249</v>
      </c>
    </row>
    <row r="334" spans="22:22">
      <c r="V334" s="37">
        <v>45250</v>
      </c>
    </row>
    <row r="335" spans="22:22">
      <c r="V335" s="37">
        <v>45251</v>
      </c>
    </row>
    <row r="336" spans="22:22">
      <c r="V336" s="37">
        <v>45252</v>
      </c>
    </row>
    <row r="337" spans="22:22">
      <c r="V337" s="37">
        <v>45253</v>
      </c>
    </row>
    <row r="338" spans="22:22">
      <c r="V338" s="37">
        <v>45254</v>
      </c>
    </row>
    <row r="339" spans="22:22">
      <c r="V339" s="37">
        <v>45255</v>
      </c>
    </row>
    <row r="340" spans="22:22">
      <c r="V340" s="37">
        <v>45256</v>
      </c>
    </row>
    <row r="341" spans="22:22">
      <c r="V341" s="37">
        <v>45257</v>
      </c>
    </row>
    <row r="342" spans="22:22">
      <c r="V342" s="37">
        <v>45258</v>
      </c>
    </row>
    <row r="343" spans="22:22">
      <c r="V343" s="37">
        <v>45259</v>
      </c>
    </row>
    <row r="344" spans="22:22">
      <c r="V344" s="37">
        <v>45260</v>
      </c>
    </row>
    <row r="345" spans="22:22">
      <c r="V345" s="37">
        <v>45261</v>
      </c>
    </row>
    <row r="346" spans="22:22">
      <c r="V346" s="37">
        <v>45262</v>
      </c>
    </row>
    <row r="347" spans="22:22">
      <c r="V347" s="37">
        <v>45263</v>
      </c>
    </row>
    <row r="348" spans="22:22">
      <c r="V348" s="37">
        <v>45264</v>
      </c>
    </row>
    <row r="349" spans="22:22">
      <c r="V349" s="37">
        <v>45265</v>
      </c>
    </row>
    <row r="350" spans="22:22">
      <c r="V350" s="37">
        <v>45266</v>
      </c>
    </row>
    <row r="351" spans="22:22">
      <c r="V351" s="37">
        <v>45267</v>
      </c>
    </row>
    <row r="352" spans="22:22">
      <c r="V352" s="37">
        <v>45268</v>
      </c>
    </row>
    <row r="353" spans="22:22">
      <c r="V353" s="37">
        <v>45269</v>
      </c>
    </row>
    <row r="354" spans="22:22">
      <c r="V354" s="37">
        <v>45270</v>
      </c>
    </row>
    <row r="355" spans="22:22">
      <c r="V355" s="37">
        <v>45271</v>
      </c>
    </row>
    <row r="356" spans="22:22">
      <c r="V356" s="37">
        <v>45272</v>
      </c>
    </row>
    <row r="357" spans="22:22">
      <c r="V357" s="37">
        <v>45273</v>
      </c>
    </row>
    <row r="358" spans="22:22">
      <c r="V358" s="37">
        <v>45274</v>
      </c>
    </row>
    <row r="359" spans="22:22">
      <c r="V359" s="37">
        <v>45275</v>
      </c>
    </row>
    <row r="360" spans="22:22">
      <c r="V360" s="37">
        <v>45276</v>
      </c>
    </row>
    <row r="361" spans="22:22">
      <c r="V361" s="37">
        <v>45277</v>
      </c>
    </row>
    <row r="362" spans="22:22">
      <c r="V362" s="37">
        <v>45278</v>
      </c>
    </row>
    <row r="363" spans="22:22">
      <c r="V363" s="37">
        <v>45279</v>
      </c>
    </row>
    <row r="364" spans="22:22">
      <c r="V364" s="37">
        <v>45280</v>
      </c>
    </row>
    <row r="365" spans="22:22">
      <c r="V365" s="37">
        <v>45281</v>
      </c>
    </row>
    <row r="366" spans="22:22">
      <c r="V366" s="37">
        <v>45282</v>
      </c>
    </row>
    <row r="367" spans="22:22">
      <c r="V367" s="37">
        <v>45283</v>
      </c>
    </row>
    <row r="368" spans="22:22">
      <c r="V368" s="37">
        <v>45284</v>
      </c>
    </row>
    <row r="369" spans="22:22">
      <c r="V369" s="37">
        <v>45285</v>
      </c>
    </row>
    <row r="370" spans="22:22">
      <c r="V370" s="37">
        <v>45286</v>
      </c>
    </row>
    <row r="371" spans="22:22">
      <c r="V371" s="37">
        <v>45287</v>
      </c>
    </row>
    <row r="372" spans="22:22">
      <c r="V372" s="37">
        <v>45288</v>
      </c>
    </row>
    <row r="373" spans="22:22">
      <c r="V373" s="37">
        <v>45289</v>
      </c>
    </row>
    <row r="374" spans="22:22">
      <c r="V374" s="37">
        <v>45290</v>
      </c>
    </row>
    <row r="375" spans="22:22">
      <c r="V375" s="37">
        <v>45291</v>
      </c>
    </row>
    <row r="376" spans="22:22">
      <c r="V376" s="37">
        <v>45292</v>
      </c>
    </row>
    <row r="377" spans="22:22">
      <c r="V377" s="37">
        <v>45293</v>
      </c>
    </row>
    <row r="378" spans="22:22">
      <c r="V378" s="37">
        <v>45294</v>
      </c>
    </row>
    <row r="379" spans="22:22">
      <c r="V379" s="37">
        <v>45295</v>
      </c>
    </row>
    <row r="380" spans="22:22">
      <c r="V380" s="37">
        <v>45296</v>
      </c>
    </row>
    <row r="381" spans="22:22">
      <c r="V381" s="37">
        <v>45297</v>
      </c>
    </row>
    <row r="382" spans="22:22">
      <c r="V382" s="37">
        <v>45298</v>
      </c>
    </row>
    <row r="383" spans="22:22">
      <c r="V383" s="37">
        <v>45299</v>
      </c>
    </row>
    <row r="384" spans="22:22">
      <c r="V384" s="37">
        <v>45300</v>
      </c>
    </row>
    <row r="385" spans="22:22">
      <c r="V385" s="37">
        <v>45301</v>
      </c>
    </row>
    <row r="386" spans="22:22">
      <c r="V386" s="37">
        <v>45302</v>
      </c>
    </row>
    <row r="387" spans="22:22">
      <c r="V387" s="37">
        <v>45303</v>
      </c>
    </row>
    <row r="388" spans="22:22">
      <c r="V388" s="37">
        <v>45304</v>
      </c>
    </row>
    <row r="389" spans="22:22">
      <c r="V389" s="37">
        <v>45305</v>
      </c>
    </row>
    <row r="390" spans="22:22">
      <c r="V390" s="37">
        <v>45306</v>
      </c>
    </row>
    <row r="391" spans="22:22">
      <c r="V391" s="37">
        <v>45307</v>
      </c>
    </row>
    <row r="392" spans="22:22">
      <c r="V392" s="37">
        <v>45308</v>
      </c>
    </row>
    <row r="393" spans="22:22">
      <c r="V393" s="37">
        <v>45309</v>
      </c>
    </row>
    <row r="394" spans="22:22">
      <c r="V394" s="37">
        <v>45310</v>
      </c>
    </row>
    <row r="395" spans="22:22">
      <c r="V395" s="37">
        <v>45311</v>
      </c>
    </row>
    <row r="396" spans="22:22">
      <c r="V396" s="37">
        <v>45312</v>
      </c>
    </row>
    <row r="397" spans="22:22">
      <c r="V397" s="37">
        <v>45313</v>
      </c>
    </row>
    <row r="398" spans="22:22">
      <c r="V398" s="37">
        <v>45314</v>
      </c>
    </row>
    <row r="399" spans="22:22">
      <c r="V399" s="37">
        <v>45315</v>
      </c>
    </row>
    <row r="400" spans="22:22">
      <c r="V400" s="37">
        <v>45316</v>
      </c>
    </row>
    <row r="401" spans="22:22">
      <c r="V401" s="37">
        <v>45317</v>
      </c>
    </row>
    <row r="402" spans="22:22">
      <c r="V402" s="37">
        <v>45318</v>
      </c>
    </row>
    <row r="403" spans="22:22">
      <c r="V403" s="37">
        <v>45319</v>
      </c>
    </row>
    <row r="404" spans="22:22">
      <c r="V404" s="37">
        <v>45320</v>
      </c>
    </row>
    <row r="405" spans="22:22">
      <c r="V405" s="37">
        <v>45321</v>
      </c>
    </row>
    <row r="406" spans="22:22">
      <c r="V406" s="37">
        <v>45322</v>
      </c>
    </row>
    <row r="407" spans="22:22">
      <c r="V407" s="37">
        <v>45323</v>
      </c>
    </row>
    <row r="408" spans="22:22">
      <c r="V408" s="37">
        <v>45324</v>
      </c>
    </row>
    <row r="409" spans="22:22">
      <c r="V409" s="37">
        <v>45325</v>
      </c>
    </row>
    <row r="410" spans="22:22">
      <c r="V410" s="37">
        <v>45326</v>
      </c>
    </row>
    <row r="411" spans="22:22">
      <c r="V411" s="37">
        <v>45327</v>
      </c>
    </row>
    <row r="412" spans="22:22">
      <c r="V412" s="37">
        <v>45328</v>
      </c>
    </row>
    <row r="413" spans="22:22">
      <c r="V413" s="37">
        <v>45329</v>
      </c>
    </row>
    <row r="414" spans="22:22">
      <c r="V414" s="37">
        <v>45330</v>
      </c>
    </row>
    <row r="415" spans="22:22">
      <c r="V415" s="37">
        <v>45331</v>
      </c>
    </row>
    <row r="416" spans="22:22">
      <c r="V416" s="37">
        <v>45332</v>
      </c>
    </row>
    <row r="417" spans="22:22">
      <c r="V417" s="37">
        <v>45333</v>
      </c>
    </row>
    <row r="418" spans="22:22">
      <c r="V418" s="37">
        <v>45334</v>
      </c>
    </row>
    <row r="419" spans="22:22">
      <c r="V419" s="37">
        <v>45335</v>
      </c>
    </row>
    <row r="420" spans="22:22">
      <c r="V420" s="37">
        <v>45336</v>
      </c>
    </row>
    <row r="421" spans="22:22">
      <c r="V421" s="37">
        <v>45337</v>
      </c>
    </row>
    <row r="422" spans="22:22">
      <c r="V422" s="37">
        <v>45338</v>
      </c>
    </row>
    <row r="423" spans="22:22">
      <c r="V423" s="37">
        <v>45339</v>
      </c>
    </row>
    <row r="424" spans="22:22">
      <c r="V424" s="37">
        <v>45340</v>
      </c>
    </row>
    <row r="425" spans="22:22">
      <c r="V425" s="37">
        <v>45341</v>
      </c>
    </row>
    <row r="426" spans="22:22">
      <c r="V426" s="37">
        <v>45342</v>
      </c>
    </row>
    <row r="427" spans="22:22">
      <c r="V427" s="37">
        <v>45343</v>
      </c>
    </row>
    <row r="428" spans="22:22">
      <c r="V428" s="37">
        <v>45344</v>
      </c>
    </row>
    <row r="429" spans="22:22">
      <c r="V429" s="37">
        <v>45345</v>
      </c>
    </row>
    <row r="430" spans="22:22">
      <c r="V430" s="37">
        <v>45346</v>
      </c>
    </row>
    <row r="431" spans="22:22">
      <c r="V431" s="37">
        <v>45347</v>
      </c>
    </row>
    <row r="432" spans="22:22">
      <c r="V432" s="37">
        <v>45348</v>
      </c>
    </row>
    <row r="433" spans="22:22">
      <c r="V433" s="37">
        <v>45349</v>
      </c>
    </row>
    <row r="434" spans="22:22">
      <c r="V434" s="37">
        <v>45350</v>
      </c>
    </row>
    <row r="435" spans="22:22">
      <c r="V435" s="37">
        <v>45352</v>
      </c>
    </row>
    <row r="436" spans="22:22">
      <c r="V436" s="37">
        <v>45353</v>
      </c>
    </row>
    <row r="437" spans="22:22">
      <c r="V437" s="37">
        <v>45354</v>
      </c>
    </row>
    <row r="438" spans="22:22">
      <c r="V438" s="37">
        <v>45355</v>
      </c>
    </row>
    <row r="439" spans="22:22">
      <c r="V439" s="37">
        <v>45356</v>
      </c>
    </row>
    <row r="440" spans="22:22">
      <c r="V440" s="37">
        <v>45357</v>
      </c>
    </row>
    <row r="441" spans="22:22">
      <c r="V441" s="37">
        <v>45358</v>
      </c>
    </row>
    <row r="442" spans="22:22">
      <c r="V442" s="37">
        <v>45359</v>
      </c>
    </row>
    <row r="443" spans="22:22">
      <c r="V443" s="37">
        <v>45360</v>
      </c>
    </row>
    <row r="444" spans="22:22">
      <c r="V444" s="37">
        <v>45361</v>
      </c>
    </row>
    <row r="445" spans="22:22">
      <c r="V445" s="37">
        <v>45362</v>
      </c>
    </row>
    <row r="446" spans="22:22">
      <c r="V446" s="37">
        <v>45363</v>
      </c>
    </row>
    <row r="447" spans="22:22">
      <c r="V447" s="37">
        <v>45364</v>
      </c>
    </row>
    <row r="448" spans="22:22">
      <c r="V448" s="37">
        <v>45365</v>
      </c>
    </row>
    <row r="449" spans="22:22">
      <c r="V449" s="37">
        <v>45366</v>
      </c>
    </row>
    <row r="450" spans="22:22">
      <c r="V450" s="37">
        <v>45367</v>
      </c>
    </row>
    <row r="451" spans="22:22">
      <c r="V451" s="37">
        <v>45368</v>
      </c>
    </row>
    <row r="452" spans="22:22">
      <c r="V452" s="37">
        <v>45369</v>
      </c>
    </row>
    <row r="453" spans="22:22">
      <c r="V453" s="37">
        <v>45370</v>
      </c>
    </row>
    <row r="454" spans="22:22">
      <c r="V454" s="37">
        <v>45371</v>
      </c>
    </row>
    <row r="455" spans="22:22">
      <c r="V455" s="37">
        <v>45372</v>
      </c>
    </row>
    <row r="456" spans="22:22">
      <c r="V456" s="37">
        <v>45373</v>
      </c>
    </row>
    <row r="457" spans="22:22">
      <c r="V457" s="37">
        <v>45374</v>
      </c>
    </row>
    <row r="458" spans="22:22">
      <c r="V458" s="37">
        <v>45375</v>
      </c>
    </row>
    <row r="459" spans="22:22">
      <c r="V459" s="37">
        <v>45376</v>
      </c>
    </row>
    <row r="460" spans="22:22">
      <c r="V460" s="37">
        <v>45377</v>
      </c>
    </row>
    <row r="461" spans="22:22">
      <c r="V461" s="37">
        <v>45378</v>
      </c>
    </row>
    <row r="462" spans="22:22">
      <c r="V462" s="37">
        <v>45379</v>
      </c>
    </row>
    <row r="463" spans="22:22">
      <c r="V463" s="37">
        <v>45380</v>
      </c>
    </row>
    <row r="464" spans="22:22">
      <c r="V464" s="37">
        <v>45381</v>
      </c>
    </row>
    <row r="465" spans="22:22">
      <c r="V465" s="37">
        <v>45382</v>
      </c>
    </row>
    <row r="466" spans="22:22">
      <c r="V466" s="37">
        <v>45383</v>
      </c>
    </row>
    <row r="467" spans="22:22">
      <c r="V467" s="37">
        <v>45384</v>
      </c>
    </row>
    <row r="468" spans="22:22">
      <c r="V468" s="37">
        <v>45385</v>
      </c>
    </row>
    <row r="469" spans="22:22">
      <c r="V469" s="37">
        <v>45386</v>
      </c>
    </row>
    <row r="470" spans="22:22">
      <c r="V470" s="37">
        <v>45387</v>
      </c>
    </row>
    <row r="471" spans="22:22">
      <c r="V471" s="37">
        <v>45388</v>
      </c>
    </row>
    <row r="472" spans="22:22">
      <c r="V472" s="37">
        <v>45389</v>
      </c>
    </row>
    <row r="473" spans="22:22">
      <c r="V473" s="37">
        <v>45390</v>
      </c>
    </row>
    <row r="474" spans="22:22">
      <c r="V474" s="37">
        <v>45391</v>
      </c>
    </row>
    <row r="475" spans="22:22">
      <c r="V475" s="37">
        <v>45392</v>
      </c>
    </row>
    <row r="476" spans="22:22">
      <c r="V476" s="37">
        <v>45393</v>
      </c>
    </row>
    <row r="477" spans="22:22">
      <c r="V477" s="37">
        <v>45394</v>
      </c>
    </row>
    <row r="478" spans="22:22">
      <c r="V478" s="37">
        <v>45395</v>
      </c>
    </row>
    <row r="479" spans="22:22">
      <c r="V479" s="37">
        <v>45396</v>
      </c>
    </row>
    <row r="480" spans="22:22">
      <c r="V480" s="37">
        <v>45397</v>
      </c>
    </row>
    <row r="481" spans="22:22">
      <c r="V481" s="37">
        <v>45398</v>
      </c>
    </row>
    <row r="482" spans="22:22">
      <c r="V482" s="37">
        <v>45399</v>
      </c>
    </row>
    <row r="483" spans="22:22">
      <c r="V483" s="37">
        <v>45400</v>
      </c>
    </row>
    <row r="484" spans="22:22">
      <c r="V484" s="37">
        <v>45401</v>
      </c>
    </row>
    <row r="485" spans="22:22">
      <c r="V485" s="37">
        <v>45402</v>
      </c>
    </row>
    <row r="486" spans="22:22">
      <c r="V486" s="37">
        <v>45403</v>
      </c>
    </row>
    <row r="487" spans="22:22">
      <c r="V487" s="37">
        <v>45404</v>
      </c>
    </row>
    <row r="488" spans="22:22">
      <c r="V488" s="37">
        <v>45405</v>
      </c>
    </row>
    <row r="489" spans="22:22">
      <c r="V489" s="37">
        <v>45406</v>
      </c>
    </row>
    <row r="490" spans="22:22">
      <c r="V490" s="37">
        <v>45407</v>
      </c>
    </row>
    <row r="491" spans="22:22">
      <c r="V491" s="37">
        <v>45408</v>
      </c>
    </row>
    <row r="492" spans="22:22">
      <c r="V492" s="37">
        <v>45409</v>
      </c>
    </row>
    <row r="493" spans="22:22">
      <c r="V493" s="37">
        <v>45410</v>
      </c>
    </row>
    <row r="494" spans="22:22">
      <c r="V494" s="37">
        <v>45411</v>
      </c>
    </row>
    <row r="495" spans="22:22">
      <c r="V495" s="37">
        <v>45412</v>
      </c>
    </row>
    <row r="496" spans="22:22">
      <c r="V496" s="37">
        <v>45413</v>
      </c>
    </row>
    <row r="497" spans="22:22">
      <c r="V497" s="37">
        <v>45414</v>
      </c>
    </row>
    <row r="498" spans="22:22">
      <c r="V498" s="37">
        <v>45415</v>
      </c>
    </row>
    <row r="499" spans="22:22">
      <c r="V499" s="37">
        <v>45416</v>
      </c>
    </row>
    <row r="500" spans="22:22">
      <c r="V500" s="37">
        <v>45417</v>
      </c>
    </row>
    <row r="501" spans="22:22">
      <c r="V501" s="37">
        <v>45418</v>
      </c>
    </row>
    <row r="502" spans="22:22">
      <c r="V502" s="37">
        <v>45419</v>
      </c>
    </row>
    <row r="503" spans="22:22">
      <c r="V503" s="37">
        <v>45420</v>
      </c>
    </row>
    <row r="504" spans="22:22">
      <c r="V504" s="37">
        <v>45421</v>
      </c>
    </row>
    <row r="505" spans="22:22">
      <c r="V505" s="37">
        <v>45422</v>
      </c>
    </row>
    <row r="506" spans="22:22">
      <c r="V506" s="37">
        <v>45423</v>
      </c>
    </row>
    <row r="507" spans="22:22">
      <c r="V507" s="37">
        <v>45424</v>
      </c>
    </row>
    <row r="508" spans="22:22">
      <c r="V508" s="37">
        <v>45425</v>
      </c>
    </row>
    <row r="509" spans="22:22">
      <c r="V509" s="37">
        <v>45426</v>
      </c>
    </row>
    <row r="510" spans="22:22">
      <c r="V510" s="37">
        <v>45427</v>
      </c>
    </row>
    <row r="511" spans="22:22">
      <c r="V511" s="37">
        <v>45428</v>
      </c>
    </row>
    <row r="512" spans="22:22">
      <c r="V512" s="37">
        <v>45429</v>
      </c>
    </row>
    <row r="513" spans="22:22">
      <c r="V513" s="37">
        <v>45430</v>
      </c>
    </row>
    <row r="514" spans="22:22">
      <c r="V514" s="37">
        <v>45431</v>
      </c>
    </row>
    <row r="515" spans="22:22">
      <c r="V515" s="37">
        <v>45432</v>
      </c>
    </row>
    <row r="516" spans="22:22">
      <c r="V516" s="37">
        <v>45433</v>
      </c>
    </row>
    <row r="517" spans="22:22">
      <c r="V517" s="37">
        <v>45434</v>
      </c>
    </row>
    <row r="518" spans="22:22">
      <c r="V518" s="37">
        <v>45435</v>
      </c>
    </row>
    <row r="519" spans="22:22">
      <c r="V519" s="37">
        <v>45436</v>
      </c>
    </row>
    <row r="520" spans="22:22">
      <c r="V520" s="37">
        <v>45437</v>
      </c>
    </row>
    <row r="521" spans="22:22">
      <c r="V521" s="37">
        <v>45438</v>
      </c>
    </row>
    <row r="522" spans="22:22">
      <c r="V522" s="37">
        <v>45439</v>
      </c>
    </row>
    <row r="523" spans="22:22">
      <c r="V523" s="37">
        <v>45440</v>
      </c>
    </row>
    <row r="524" spans="22:22">
      <c r="V524" s="37">
        <v>45441</v>
      </c>
    </row>
    <row r="525" spans="22:22">
      <c r="V525" s="37">
        <v>45442</v>
      </c>
    </row>
    <row r="526" spans="22:22">
      <c r="V526" s="37">
        <v>45443</v>
      </c>
    </row>
    <row r="527" spans="22:22">
      <c r="V527" s="37">
        <v>45444</v>
      </c>
    </row>
    <row r="528" spans="22:22">
      <c r="V528" s="37">
        <v>45445</v>
      </c>
    </row>
    <row r="529" spans="22:22">
      <c r="V529" s="37">
        <v>45446</v>
      </c>
    </row>
    <row r="530" spans="22:22">
      <c r="V530" s="37">
        <v>45447</v>
      </c>
    </row>
    <row r="531" spans="22:22">
      <c r="V531" s="37">
        <v>45448</v>
      </c>
    </row>
    <row r="532" spans="22:22">
      <c r="V532" s="37">
        <v>45449</v>
      </c>
    </row>
    <row r="533" spans="22:22">
      <c r="V533" s="37">
        <v>45450</v>
      </c>
    </row>
    <row r="534" spans="22:22">
      <c r="V534" s="37">
        <v>45451</v>
      </c>
    </row>
    <row r="535" spans="22:22">
      <c r="V535" s="37">
        <v>45452</v>
      </c>
    </row>
    <row r="536" spans="22:22">
      <c r="V536" s="37">
        <v>45453</v>
      </c>
    </row>
    <row r="537" spans="22:22">
      <c r="V537" s="37">
        <v>45454</v>
      </c>
    </row>
    <row r="538" spans="22:22">
      <c r="V538" s="37">
        <v>45455</v>
      </c>
    </row>
    <row r="539" spans="22:22">
      <c r="V539" s="37">
        <v>45456</v>
      </c>
    </row>
    <row r="540" spans="22:22">
      <c r="V540" s="37">
        <v>45457</v>
      </c>
    </row>
    <row r="541" spans="22:22">
      <c r="V541" s="37">
        <v>45458</v>
      </c>
    </row>
    <row r="542" spans="22:22">
      <c r="V542" s="37">
        <v>45459</v>
      </c>
    </row>
    <row r="543" spans="22:22">
      <c r="V543" s="37">
        <v>45460</v>
      </c>
    </row>
    <row r="544" spans="22:22">
      <c r="V544" s="37">
        <v>45461</v>
      </c>
    </row>
    <row r="545" spans="22:22">
      <c r="V545" s="37">
        <v>45462</v>
      </c>
    </row>
    <row r="546" spans="22:22">
      <c r="V546" s="37">
        <v>45463</v>
      </c>
    </row>
    <row r="547" spans="22:22">
      <c r="V547" s="37">
        <v>45464</v>
      </c>
    </row>
    <row r="548" spans="22:22">
      <c r="V548" s="37">
        <v>45465</v>
      </c>
    </row>
    <row r="549" spans="22:22">
      <c r="V549" s="37">
        <v>45466</v>
      </c>
    </row>
    <row r="550" spans="22:22">
      <c r="V550" s="37">
        <v>45467</v>
      </c>
    </row>
    <row r="551" spans="22:22">
      <c r="V551" s="37">
        <v>45468</v>
      </c>
    </row>
    <row r="552" spans="22:22">
      <c r="V552" s="37">
        <v>45469</v>
      </c>
    </row>
    <row r="553" spans="22:22">
      <c r="V553" s="37">
        <v>45470</v>
      </c>
    </row>
    <row r="554" spans="22:22">
      <c r="V554" s="37">
        <v>45471</v>
      </c>
    </row>
    <row r="555" spans="22:22">
      <c r="V555" s="37">
        <v>45472</v>
      </c>
    </row>
    <row r="556" spans="22:22">
      <c r="V556" s="37">
        <v>45473</v>
      </c>
    </row>
    <row r="557" spans="22:22">
      <c r="V557" s="37">
        <v>45474</v>
      </c>
    </row>
    <row r="558" spans="22:22">
      <c r="V558" s="37">
        <v>45475</v>
      </c>
    </row>
    <row r="559" spans="22:22">
      <c r="V559" s="37">
        <v>45476</v>
      </c>
    </row>
    <row r="560" spans="22:22">
      <c r="V560" s="37">
        <v>45477</v>
      </c>
    </row>
    <row r="561" spans="22:22">
      <c r="V561" s="37">
        <v>45478</v>
      </c>
    </row>
    <row r="562" spans="22:22">
      <c r="V562" s="37">
        <v>45479</v>
      </c>
    </row>
    <row r="563" spans="22:22">
      <c r="V563" s="37">
        <v>45480</v>
      </c>
    </row>
    <row r="564" spans="22:22">
      <c r="V564" s="37">
        <v>45481</v>
      </c>
    </row>
    <row r="565" spans="22:22">
      <c r="V565" s="37">
        <v>45482</v>
      </c>
    </row>
    <row r="566" spans="22:22">
      <c r="V566" s="37">
        <v>45483</v>
      </c>
    </row>
    <row r="567" spans="22:22">
      <c r="V567" s="37">
        <v>45484</v>
      </c>
    </row>
    <row r="568" spans="22:22">
      <c r="V568" s="37">
        <v>45485</v>
      </c>
    </row>
    <row r="569" spans="22:22">
      <c r="V569" s="37">
        <v>45486</v>
      </c>
    </row>
    <row r="570" spans="22:22">
      <c r="V570" s="37">
        <v>45487</v>
      </c>
    </row>
    <row r="571" spans="22:22">
      <c r="V571" s="37">
        <v>45488</v>
      </c>
    </row>
    <row r="572" spans="22:22">
      <c r="V572" s="37">
        <v>45489</v>
      </c>
    </row>
    <row r="573" spans="22:22">
      <c r="V573" s="37">
        <v>45490</v>
      </c>
    </row>
    <row r="574" spans="22:22">
      <c r="V574" s="37">
        <v>45491</v>
      </c>
    </row>
    <row r="575" spans="22:22">
      <c r="V575" s="37">
        <v>45492</v>
      </c>
    </row>
    <row r="576" spans="22:22">
      <c r="V576" s="37">
        <v>45493</v>
      </c>
    </row>
    <row r="577" spans="22:22">
      <c r="V577" s="37">
        <v>45494</v>
      </c>
    </row>
    <row r="578" spans="22:22">
      <c r="V578" s="37">
        <v>45495</v>
      </c>
    </row>
    <row r="579" spans="22:22">
      <c r="V579" s="37">
        <v>45496</v>
      </c>
    </row>
    <row r="580" spans="22:22">
      <c r="V580" s="37">
        <v>45497</v>
      </c>
    </row>
    <row r="581" spans="22:22">
      <c r="V581" s="37">
        <v>45498</v>
      </c>
    </row>
    <row r="582" spans="22:22">
      <c r="V582" s="37">
        <v>45499</v>
      </c>
    </row>
    <row r="583" spans="22:22">
      <c r="V583" s="37">
        <v>45500</v>
      </c>
    </row>
    <row r="584" spans="22:22">
      <c r="V584" s="37">
        <v>45501</v>
      </c>
    </row>
    <row r="585" spans="22:22">
      <c r="V585" s="37">
        <v>45502</v>
      </c>
    </row>
    <row r="586" spans="22:22">
      <c r="V586" s="37">
        <v>45503</v>
      </c>
    </row>
    <row r="587" spans="22:22">
      <c r="V587" s="37">
        <v>45504</v>
      </c>
    </row>
    <row r="588" spans="22:22">
      <c r="V588" s="37">
        <v>45505</v>
      </c>
    </row>
    <row r="589" spans="22:22">
      <c r="V589" s="37">
        <v>45506</v>
      </c>
    </row>
    <row r="590" spans="22:22">
      <c r="V590" s="37">
        <v>45507</v>
      </c>
    </row>
    <row r="591" spans="22:22">
      <c r="V591" s="37">
        <v>45508</v>
      </c>
    </row>
    <row r="592" spans="22:22">
      <c r="V592" s="37">
        <v>45509</v>
      </c>
    </row>
    <row r="593" spans="22:22">
      <c r="V593" s="37">
        <v>45510</v>
      </c>
    </row>
    <row r="594" spans="22:22">
      <c r="V594" s="37">
        <v>45511</v>
      </c>
    </row>
    <row r="595" spans="22:22">
      <c r="V595" s="37">
        <v>45512</v>
      </c>
    </row>
    <row r="596" spans="22:22">
      <c r="V596" s="37">
        <v>45513</v>
      </c>
    </row>
    <row r="597" spans="22:22">
      <c r="V597" s="37">
        <v>45514</v>
      </c>
    </row>
    <row r="598" spans="22:22">
      <c r="V598" s="37">
        <v>45515</v>
      </c>
    </row>
    <row r="599" spans="22:22">
      <c r="V599" s="37">
        <v>45516</v>
      </c>
    </row>
    <row r="600" spans="22:22">
      <c r="V600" s="37">
        <v>45517</v>
      </c>
    </row>
    <row r="601" spans="22:22">
      <c r="V601" s="37">
        <v>45518</v>
      </c>
    </row>
    <row r="602" spans="22:22">
      <c r="V602" s="37">
        <v>45519</v>
      </c>
    </row>
    <row r="603" spans="22:22">
      <c r="V603" s="37">
        <v>45520</v>
      </c>
    </row>
    <row r="604" spans="22:22">
      <c r="V604" s="37">
        <v>45521</v>
      </c>
    </row>
    <row r="605" spans="22:22">
      <c r="V605" s="37">
        <v>45522</v>
      </c>
    </row>
    <row r="606" spans="22:22">
      <c r="V606" s="37">
        <v>45523</v>
      </c>
    </row>
    <row r="607" spans="22:22">
      <c r="V607" s="37">
        <v>45524</v>
      </c>
    </row>
    <row r="608" spans="22:22">
      <c r="V608" s="37">
        <v>45525</v>
      </c>
    </row>
    <row r="609" spans="22:22">
      <c r="V609" s="37">
        <v>45526</v>
      </c>
    </row>
    <row r="610" spans="22:22">
      <c r="V610" s="37">
        <v>45527</v>
      </c>
    </row>
    <row r="611" spans="22:22">
      <c r="V611" s="37">
        <v>45528</v>
      </c>
    </row>
    <row r="612" spans="22:22">
      <c r="V612" s="37">
        <v>45529</v>
      </c>
    </row>
    <row r="613" spans="22:22">
      <c r="V613" s="37">
        <v>45530</v>
      </c>
    </row>
    <row r="614" spans="22:22">
      <c r="V614" s="37">
        <v>45531</v>
      </c>
    </row>
    <row r="615" spans="22:22">
      <c r="V615" s="37">
        <v>45532</v>
      </c>
    </row>
    <row r="616" spans="22:22">
      <c r="V616" s="37">
        <v>45533</v>
      </c>
    </row>
    <row r="617" spans="22:22">
      <c r="V617" s="37">
        <v>45534</v>
      </c>
    </row>
    <row r="618" spans="22:22">
      <c r="V618" s="37">
        <v>45535</v>
      </c>
    </row>
    <row r="619" spans="22:22">
      <c r="V619" s="37">
        <v>45536</v>
      </c>
    </row>
    <row r="620" spans="22:22">
      <c r="V620" s="37">
        <v>45537</v>
      </c>
    </row>
    <row r="621" spans="22:22">
      <c r="V621" s="37">
        <v>45538</v>
      </c>
    </row>
    <row r="622" spans="22:22">
      <c r="V622" s="37">
        <v>45539</v>
      </c>
    </row>
    <row r="623" spans="22:22">
      <c r="V623" s="37">
        <v>45540</v>
      </c>
    </row>
    <row r="624" spans="22:22">
      <c r="V624" s="37">
        <v>45541</v>
      </c>
    </row>
    <row r="625" spans="22:22">
      <c r="V625" s="37">
        <v>45542</v>
      </c>
    </row>
    <row r="626" spans="22:22">
      <c r="V626" s="37">
        <v>45543</v>
      </c>
    </row>
    <row r="627" spans="22:22">
      <c r="V627" s="37">
        <v>45544</v>
      </c>
    </row>
    <row r="628" spans="22:22">
      <c r="V628" s="37">
        <v>45545</v>
      </c>
    </row>
    <row r="629" spans="22:22">
      <c r="V629" s="37">
        <v>45546</v>
      </c>
    </row>
    <row r="630" spans="22:22">
      <c r="V630" s="37">
        <v>45547</v>
      </c>
    </row>
    <row r="631" spans="22:22">
      <c r="V631" s="37">
        <v>45548</v>
      </c>
    </row>
    <row r="632" spans="22:22">
      <c r="V632" s="37">
        <v>45549</v>
      </c>
    </row>
    <row r="633" spans="22:22">
      <c r="V633" s="37">
        <v>45550</v>
      </c>
    </row>
    <row r="634" spans="22:22">
      <c r="V634" s="37">
        <v>45551</v>
      </c>
    </row>
    <row r="635" spans="22:22">
      <c r="V635" s="37">
        <v>45552</v>
      </c>
    </row>
    <row r="636" spans="22:22">
      <c r="V636" s="37">
        <v>45553</v>
      </c>
    </row>
    <row r="637" spans="22:22">
      <c r="V637" s="37">
        <v>45554</v>
      </c>
    </row>
    <row r="638" spans="22:22">
      <c r="V638" s="37">
        <v>45555</v>
      </c>
    </row>
    <row r="639" spans="22:22">
      <c r="V639" s="37">
        <v>45556</v>
      </c>
    </row>
    <row r="640" spans="22:22">
      <c r="V640" s="37">
        <v>45557</v>
      </c>
    </row>
    <row r="641" spans="22:22">
      <c r="V641" s="37">
        <v>45558</v>
      </c>
    </row>
    <row r="642" spans="22:22">
      <c r="V642" s="37">
        <v>45559</v>
      </c>
    </row>
    <row r="643" spans="22:22">
      <c r="V643" s="37">
        <v>45560</v>
      </c>
    </row>
    <row r="644" spans="22:22">
      <c r="V644" s="37">
        <v>45561</v>
      </c>
    </row>
    <row r="645" spans="22:22">
      <c r="V645" s="37">
        <v>45562</v>
      </c>
    </row>
    <row r="646" spans="22:22">
      <c r="V646" s="37">
        <v>45563</v>
      </c>
    </row>
    <row r="647" spans="22:22">
      <c r="V647" s="37">
        <v>45564</v>
      </c>
    </row>
    <row r="648" spans="22:22">
      <c r="V648" s="37">
        <v>45565</v>
      </c>
    </row>
    <row r="649" spans="22:22">
      <c r="V649" s="37">
        <v>45566</v>
      </c>
    </row>
    <row r="650" spans="22:22">
      <c r="V650" s="37">
        <v>45567</v>
      </c>
    </row>
    <row r="651" spans="22:22">
      <c r="V651" s="37">
        <v>45568</v>
      </c>
    </row>
    <row r="652" spans="22:22">
      <c r="V652" s="37">
        <v>45569</v>
      </c>
    </row>
    <row r="653" spans="22:22">
      <c r="V653" s="37">
        <v>45570</v>
      </c>
    </row>
    <row r="654" spans="22:22">
      <c r="V654" s="37">
        <v>45571</v>
      </c>
    </row>
    <row r="655" spans="22:22">
      <c r="V655" s="37">
        <v>45572</v>
      </c>
    </row>
    <row r="656" spans="22:22">
      <c r="V656" s="37">
        <v>45573</v>
      </c>
    </row>
    <row r="657" spans="22:22">
      <c r="V657" s="37">
        <v>45574</v>
      </c>
    </row>
    <row r="658" spans="22:22">
      <c r="V658" s="37">
        <v>45575</v>
      </c>
    </row>
    <row r="659" spans="22:22">
      <c r="V659" s="37">
        <v>45576</v>
      </c>
    </row>
    <row r="660" spans="22:22">
      <c r="V660" s="37">
        <v>45577</v>
      </c>
    </row>
    <row r="661" spans="22:22">
      <c r="V661" s="37">
        <v>45578</v>
      </c>
    </row>
    <row r="662" spans="22:22">
      <c r="V662" s="37">
        <v>45579</v>
      </c>
    </row>
    <row r="663" spans="22:22">
      <c r="V663" s="37">
        <v>45580</v>
      </c>
    </row>
    <row r="664" spans="22:22">
      <c r="V664" s="37">
        <v>45581</v>
      </c>
    </row>
    <row r="665" spans="22:22">
      <c r="V665" s="37">
        <v>45582</v>
      </c>
    </row>
    <row r="666" spans="22:22">
      <c r="V666" s="37">
        <v>45583</v>
      </c>
    </row>
    <row r="667" spans="22:22">
      <c r="V667" s="37">
        <v>45584</v>
      </c>
    </row>
    <row r="668" spans="22:22">
      <c r="V668" s="37">
        <v>45585</v>
      </c>
    </row>
    <row r="669" spans="22:22">
      <c r="V669" s="37">
        <v>45586</v>
      </c>
    </row>
    <row r="670" spans="22:22">
      <c r="V670" s="37">
        <v>45587</v>
      </c>
    </row>
    <row r="671" spans="22:22">
      <c r="V671" s="37">
        <v>45588</v>
      </c>
    </row>
    <row r="672" spans="22:22">
      <c r="V672" s="37">
        <v>45589</v>
      </c>
    </row>
    <row r="673" spans="22:22">
      <c r="V673" s="37">
        <v>45590</v>
      </c>
    </row>
    <row r="674" spans="22:22">
      <c r="V674" s="37">
        <v>45591</v>
      </c>
    </row>
    <row r="675" spans="22:22">
      <c r="V675" s="37">
        <v>45592</v>
      </c>
    </row>
    <row r="676" spans="22:22">
      <c r="V676" s="37">
        <v>45593</v>
      </c>
    </row>
    <row r="677" spans="22:22">
      <c r="V677" s="37">
        <v>45594</v>
      </c>
    </row>
    <row r="678" spans="22:22">
      <c r="V678" s="37">
        <v>45595</v>
      </c>
    </row>
    <row r="679" spans="22:22">
      <c r="V679" s="37">
        <v>45596</v>
      </c>
    </row>
    <row r="680" spans="22:22">
      <c r="V680" s="37">
        <v>45597</v>
      </c>
    </row>
    <row r="681" spans="22:22">
      <c r="V681" s="37">
        <v>45598</v>
      </c>
    </row>
    <row r="682" spans="22:22">
      <c r="V682" s="37">
        <v>45599</v>
      </c>
    </row>
    <row r="683" spans="22:22">
      <c r="V683" s="37">
        <v>45600</v>
      </c>
    </row>
    <row r="684" spans="22:22">
      <c r="V684" s="37">
        <v>45601</v>
      </c>
    </row>
    <row r="685" spans="22:22">
      <c r="V685" s="37">
        <v>45602</v>
      </c>
    </row>
    <row r="686" spans="22:22">
      <c r="V686" s="37">
        <v>45603</v>
      </c>
    </row>
    <row r="687" spans="22:22">
      <c r="V687" s="37">
        <v>45604</v>
      </c>
    </row>
    <row r="688" spans="22:22">
      <c r="V688" s="37">
        <v>45605</v>
      </c>
    </row>
    <row r="689" spans="22:22">
      <c r="V689" s="37">
        <v>45606</v>
      </c>
    </row>
    <row r="690" spans="22:22">
      <c r="V690" s="37">
        <v>45607</v>
      </c>
    </row>
    <row r="691" spans="22:22">
      <c r="V691" s="37">
        <v>45608</v>
      </c>
    </row>
    <row r="692" spans="22:22">
      <c r="V692" s="37">
        <v>45609</v>
      </c>
    </row>
    <row r="693" spans="22:22">
      <c r="V693" s="37">
        <v>45610</v>
      </c>
    </row>
    <row r="694" spans="22:22">
      <c r="V694" s="37">
        <v>45611</v>
      </c>
    </row>
    <row r="695" spans="22:22">
      <c r="V695" s="37">
        <v>45612</v>
      </c>
    </row>
    <row r="696" spans="22:22">
      <c r="V696" s="37">
        <v>45613</v>
      </c>
    </row>
    <row r="697" spans="22:22">
      <c r="V697" s="37">
        <v>45614</v>
      </c>
    </row>
    <row r="698" spans="22:22">
      <c r="V698" s="37">
        <v>45615</v>
      </c>
    </row>
    <row r="699" spans="22:22">
      <c r="V699" s="37">
        <v>45616</v>
      </c>
    </row>
    <row r="700" spans="22:22">
      <c r="V700" s="37">
        <v>45617</v>
      </c>
    </row>
    <row r="701" spans="22:22">
      <c r="V701" s="37">
        <v>45618</v>
      </c>
    </row>
    <row r="702" spans="22:22">
      <c r="V702" s="37">
        <v>45619</v>
      </c>
    </row>
    <row r="703" spans="22:22">
      <c r="V703" s="37">
        <v>45620</v>
      </c>
    </row>
    <row r="704" spans="22:22">
      <c r="V704" s="37">
        <v>45621</v>
      </c>
    </row>
    <row r="705" spans="22:22">
      <c r="V705" s="37">
        <v>45622</v>
      </c>
    </row>
    <row r="706" spans="22:22">
      <c r="V706" s="37">
        <v>45623</v>
      </c>
    </row>
    <row r="707" spans="22:22">
      <c r="V707" s="37">
        <v>45624</v>
      </c>
    </row>
    <row r="708" spans="22:22">
      <c r="V708" s="37">
        <v>45625</v>
      </c>
    </row>
    <row r="709" spans="22:22">
      <c r="V709" s="37">
        <v>45626</v>
      </c>
    </row>
    <row r="710" spans="22:22">
      <c r="V710" s="37">
        <v>45627</v>
      </c>
    </row>
    <row r="711" spans="22:22">
      <c r="V711" s="37">
        <v>45628</v>
      </c>
    </row>
    <row r="712" spans="22:22">
      <c r="V712" s="37">
        <v>45629</v>
      </c>
    </row>
    <row r="713" spans="22:22">
      <c r="V713" s="37">
        <v>45630</v>
      </c>
    </row>
    <row r="714" spans="22:22">
      <c r="V714" s="37">
        <v>45631</v>
      </c>
    </row>
    <row r="715" spans="22:22">
      <c r="V715" s="37">
        <v>45632</v>
      </c>
    </row>
    <row r="716" spans="22:22">
      <c r="V716" s="37">
        <v>45633</v>
      </c>
    </row>
    <row r="717" spans="22:22">
      <c r="V717" s="37">
        <v>45634</v>
      </c>
    </row>
    <row r="718" spans="22:22">
      <c r="V718" s="37">
        <v>45635</v>
      </c>
    </row>
    <row r="719" spans="22:22">
      <c r="V719" s="37">
        <v>45636</v>
      </c>
    </row>
    <row r="720" spans="22:22">
      <c r="V720" s="37">
        <v>45637</v>
      </c>
    </row>
    <row r="721" spans="22:22">
      <c r="V721" s="37">
        <v>45638</v>
      </c>
    </row>
    <row r="722" spans="22:22">
      <c r="V722" s="37">
        <v>45639</v>
      </c>
    </row>
    <row r="723" spans="22:22">
      <c r="V723" s="37">
        <v>45640</v>
      </c>
    </row>
    <row r="724" spans="22:22">
      <c r="V724" s="37">
        <v>45641</v>
      </c>
    </row>
    <row r="725" spans="22:22">
      <c r="V725" s="37">
        <v>45642</v>
      </c>
    </row>
    <row r="726" spans="22:22">
      <c r="V726" s="37">
        <v>45643</v>
      </c>
    </row>
    <row r="727" spans="22:22">
      <c r="V727" s="37">
        <v>45644</v>
      </c>
    </row>
    <row r="728" spans="22:22">
      <c r="V728" s="37">
        <v>45645</v>
      </c>
    </row>
    <row r="729" spans="22:22">
      <c r="V729" s="37">
        <v>45646</v>
      </c>
    </row>
    <row r="730" spans="22:22">
      <c r="V730" s="37">
        <v>45647</v>
      </c>
    </row>
    <row r="731" spans="22:22">
      <c r="V731" s="37">
        <v>45648</v>
      </c>
    </row>
    <row r="732" spans="22:22">
      <c r="V732" s="37">
        <v>45649</v>
      </c>
    </row>
    <row r="733" spans="22:22">
      <c r="V733" s="37">
        <v>45650</v>
      </c>
    </row>
    <row r="734" spans="22:22">
      <c r="V734" s="37">
        <v>45651</v>
      </c>
    </row>
    <row r="735" spans="22:22">
      <c r="V735" s="37">
        <v>45652</v>
      </c>
    </row>
    <row r="736" spans="22:22">
      <c r="V736" s="37">
        <v>45653</v>
      </c>
    </row>
    <row r="737" spans="22:22">
      <c r="V737" s="37">
        <v>45654</v>
      </c>
    </row>
    <row r="738" spans="22:22">
      <c r="V738" s="37">
        <v>45655</v>
      </c>
    </row>
    <row r="739" spans="22:22">
      <c r="V739" s="37">
        <v>45656</v>
      </c>
    </row>
    <row r="740" spans="22:22">
      <c r="V740" s="37">
        <v>45657</v>
      </c>
    </row>
  </sheetData>
  <sheetProtection algorithmName="SHA-512" hashValue="7dyc3Uaz3BaA70Yx2KpNc2wrKXf6qQ03DPDt840CEYUZgBYuPBEdOeidv+ZF2pLrRCLBtcom/xXUp0TR1Em2oQ==" saltValue="Bmvhl1uEL1OAn/PvAYhIcg==" spinCount="100000" sheet="1" objects="1" scenarios="1"/>
  <mergeCells count="33">
    <mergeCell ref="C49:O49"/>
    <mergeCell ref="C72:O87"/>
    <mergeCell ref="F20:J20"/>
    <mergeCell ref="L13:M14"/>
    <mergeCell ref="N13:N14"/>
    <mergeCell ref="O13:O14"/>
    <mergeCell ref="L15:M16"/>
    <mergeCell ref="N15:N16"/>
    <mergeCell ref="O15:O16"/>
    <mergeCell ref="H23:I23"/>
    <mergeCell ref="H24:I24"/>
    <mergeCell ref="F14:J14"/>
    <mergeCell ref="H18:I18"/>
    <mergeCell ref="L18:M18"/>
    <mergeCell ref="C27:G27"/>
    <mergeCell ref="L19:M19"/>
    <mergeCell ref="C1:O3"/>
    <mergeCell ref="C11:C13"/>
    <mergeCell ref="D11:D13"/>
    <mergeCell ref="L10:O12"/>
    <mergeCell ref="F4:L5"/>
    <mergeCell ref="F8:J8"/>
    <mergeCell ref="H11:I11"/>
    <mergeCell ref="H12:I12"/>
    <mergeCell ref="L7:M8"/>
    <mergeCell ref="N7:N8"/>
    <mergeCell ref="L22:O22"/>
    <mergeCell ref="L23:O23"/>
    <mergeCell ref="L17:M17"/>
    <mergeCell ref="L21:M21"/>
    <mergeCell ref="C8:C10"/>
    <mergeCell ref="D8:D10"/>
    <mergeCell ref="H17:I17"/>
  </mergeCells>
  <conditionalFormatting sqref="D51:O65">
    <cfRule type="expression" dxfId="19" priority="2">
      <formula>D51=9999999</formula>
    </cfRule>
  </conditionalFormatting>
  <conditionalFormatting sqref="D67:O70">
    <cfRule type="expression" dxfId="18" priority="1">
      <formula>D67=9999999</formula>
    </cfRule>
  </conditionalFormatting>
  <dataValidations count="10">
    <dataValidation type="whole" operator="greaterThanOrEqual" allowBlank="1" showInputMessage="1" showErrorMessage="1" errorTitle="Demurrage and Detention freetime" error="This number should be equal or greater than standart freetime." promptTitle="Demurrage and Detention freetime" prompt="This number should be equal or greater than standart freetime." sqref="J23 J17" xr:uid="{E0FAB950-4DFD-4CB7-8205-F05495C8826A}">
      <formula1>C40</formula1>
    </dataValidation>
    <dataValidation type="whole" operator="greaterThanOrEqual" allowBlank="1" showInputMessage="1" showErrorMessage="1" errorTitle="Storage Freetime" error="This number should be equal or greater than standart freetime." promptTitle="Storage Freetime" prompt="This number should be equal or greater than standart freetime." sqref="J11" xr:uid="{54A67980-43FF-41F8-973B-1F312FF240EA}">
      <formula1>C34</formula1>
    </dataValidation>
    <dataValidation type="date" allowBlank="1" showErrorMessage="1" error="Please check if the date is correct !! " prompt="Please enter a valid date value !!" sqref="G21 G15" xr:uid="{AC45288E-DEB6-4CD1-8232-1959C3B76626}">
      <formula1>1</formula1>
      <formula2>73051</formula2>
    </dataValidation>
    <dataValidation allowBlank="1" showErrorMessage="1" error="Please check if the date is correct !! " prompt="Please enter a valid date value !!" sqref="G16" xr:uid="{ADF8DEA8-0650-42F2-9AF3-B69E9B54B26F}"/>
    <dataValidation type="whole" errorStyle="warning" operator="greaterThan" showInputMessage="1" showErrorMessage="1" errorTitle="Date Error" error="Please chose the dates correctly !" sqref="G11" xr:uid="{BBF50598-945D-405A-8968-CDD529F82CBA}">
      <formula1>0</formula1>
    </dataValidation>
    <dataValidation type="list" operator="greaterThanOrEqual" allowBlank="1" showErrorMessage="1" error="Please check if the date is correct !! " prompt="Please enter a valid date value !!" sqref="G22" xr:uid="{01CEC49F-3874-4FEC-969E-B0CD975ECEB5}">
      <formula1>$V$10:$V$740</formula1>
    </dataValidation>
    <dataValidation type="list" allowBlank="1" showErrorMessage="1" error="Please check if the date is correct !! " prompt="Please enter a valid date value !!" sqref="G9:G10" xr:uid="{80A3F54C-FB13-4B5D-8AC7-31D798A1FAA6}">
      <formula1>$V$10:$V$740</formula1>
    </dataValidation>
    <dataValidation type="whole" operator="greaterThanOrEqual" allowBlank="1" showErrorMessage="1" errorTitle="Storage Freetime" error="This number should be equal or greater than standart freetime." promptTitle="Storage Freetime" prompt="This number should be equal or greater than standart freetime." sqref="J18 J12 J24" xr:uid="{4A533C2D-97BB-4D69-B427-3BB7F82859E4}">
      <formula1>C35</formula1>
    </dataValidation>
    <dataValidation type="list" allowBlank="1" showInputMessage="1" showErrorMessage="1" sqref="D8:D10" xr:uid="{638F52F5-2E83-4414-88C3-3FC8FEFA6573}">
      <formula1>$X$10:$X$21</formula1>
    </dataValidation>
    <dataValidation type="list" allowBlank="1" showInputMessage="1" showErrorMessage="1" sqref="D11:D13" xr:uid="{07277593-82A3-4D71-8012-AC1241FB63D5}">
      <formula1>$W$10:$W$14</formula1>
    </dataValidation>
  </dataValidations>
  <hyperlinks>
    <hyperlink ref="C27" r:id="rId1" display="** https://www.hapag-lloyd.com/en/online-business/book/additional-freetime.html" xr:uid="{0EDBED01-A367-4B40-A598-25C5806FB76D}"/>
    <hyperlink ref="L23" r:id="rId2" location="/dashboard" display="https://solutions.hapag-lloyd.com/navigator/#/dashboard" xr:uid="{7ECF91D4-9C97-4A52-B82F-26C697A1C7D6}"/>
  </hyperlinks>
  <pageMargins left="0.7" right="0.7" top="0.75" bottom="0.75" header="0.3" footer="0.3"/>
  <pageSetup orientation="portrait" r:id="rId3"/>
  <ignoredErrors>
    <ignoredError sqref="J23:J24 J17:J18 J11:J12" unlockedFormula="1"/>
  </ignoredErrors>
  <drawing r:id="rId4"/>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62D7D-4964-4359-AEAC-BBA11989860B}">
  <sheetPr>
    <tabColor theme="4" tint="0.39997558519241921"/>
  </sheetPr>
  <dimension ref="C1:Z740"/>
  <sheetViews>
    <sheetView showGridLines="0" showRowColHeaders="0" zoomScale="80" zoomScaleNormal="80" workbookViewId="0">
      <selection activeCell="G19" sqref="G19"/>
    </sheetView>
  </sheetViews>
  <sheetFormatPr defaultColWidth="8.85546875" defaultRowHeight="15"/>
  <cols>
    <col min="1" max="1" width="5.28515625" style="101" customWidth="1"/>
    <col min="2" max="2" width="6.5703125" style="101" customWidth="1"/>
    <col min="3" max="3" width="19.28515625" style="101" customWidth="1"/>
    <col min="4" max="4" width="18.85546875" style="101" customWidth="1"/>
    <col min="5" max="7" width="22.28515625" style="101" customWidth="1"/>
    <col min="8" max="8" width="23.42578125" style="101" customWidth="1"/>
    <col min="9" max="20" width="22.28515625" style="101" customWidth="1"/>
    <col min="21" max="22" width="22.28515625" style="101" hidden="1" customWidth="1"/>
    <col min="23" max="23" width="8.85546875" style="101" hidden="1" customWidth="1"/>
    <col min="24" max="24" width="20.42578125" style="101" hidden="1" customWidth="1"/>
    <col min="25" max="26" width="8.85546875" style="101" hidden="1" customWidth="1"/>
    <col min="27" max="27" width="8.85546875" style="101" customWidth="1"/>
    <col min="28" max="16384" width="8.85546875" style="101"/>
  </cols>
  <sheetData>
    <row r="1" spans="3:25" ht="18.75" customHeight="1">
      <c r="C1" s="538" t="s">
        <v>228</v>
      </c>
      <c r="D1" s="538"/>
      <c r="E1" s="538"/>
      <c r="F1" s="538"/>
      <c r="G1" s="538"/>
      <c r="H1" s="538"/>
      <c r="I1" s="538"/>
      <c r="J1" s="538"/>
      <c r="K1" s="538"/>
      <c r="L1" s="538"/>
      <c r="M1" s="538"/>
      <c r="N1" s="538"/>
      <c r="O1" s="538"/>
    </row>
    <row r="2" spans="3:25" ht="18.75" customHeight="1">
      <c r="C2" s="538"/>
      <c r="D2" s="538"/>
      <c r="E2" s="538"/>
      <c r="F2" s="538"/>
      <c r="G2" s="538"/>
      <c r="H2" s="538"/>
      <c r="I2" s="538"/>
      <c r="J2" s="538"/>
      <c r="K2" s="538"/>
      <c r="L2" s="538"/>
      <c r="M2" s="538"/>
      <c r="N2" s="538"/>
      <c r="O2" s="538"/>
    </row>
    <row r="3" spans="3:25" ht="18.75" customHeight="1">
      <c r="C3" s="538"/>
      <c r="D3" s="538"/>
      <c r="E3" s="538"/>
      <c r="F3" s="538"/>
      <c r="G3" s="538"/>
      <c r="H3" s="538"/>
      <c r="I3" s="538"/>
      <c r="J3" s="538"/>
      <c r="K3" s="538"/>
      <c r="L3" s="538"/>
      <c r="M3" s="538"/>
      <c r="N3" s="538"/>
      <c r="O3" s="538"/>
    </row>
    <row r="4" spans="3:25" ht="16.5" customHeight="1">
      <c r="F4" s="547" t="s">
        <v>222</v>
      </c>
      <c r="G4" s="547"/>
      <c r="H4" s="547"/>
      <c r="I4" s="547"/>
      <c r="J4" s="547"/>
      <c r="K4" s="547"/>
      <c r="L4" s="547"/>
    </row>
    <row r="5" spans="3:25" ht="16.5" customHeight="1">
      <c r="F5" s="547"/>
      <c r="G5" s="547"/>
      <c r="H5" s="547"/>
      <c r="I5" s="547"/>
      <c r="J5" s="547"/>
      <c r="K5" s="547"/>
      <c r="L5" s="547"/>
    </row>
    <row r="6" spans="3:25" ht="18.75" customHeight="1"/>
    <row r="7" spans="3:25" ht="18.75" customHeight="1">
      <c r="L7" s="553" t="s">
        <v>249</v>
      </c>
      <c r="M7" s="553"/>
      <c r="N7" s="554">
        <v>1</v>
      </c>
    </row>
    <row r="8" spans="3:25" ht="30" customHeight="1">
      <c r="C8" s="532" t="s">
        <v>147</v>
      </c>
      <c r="D8" s="534" t="s">
        <v>239</v>
      </c>
      <c r="F8" s="548" t="s">
        <v>148</v>
      </c>
      <c r="G8" s="549"/>
      <c r="H8" s="549"/>
      <c r="I8" s="549"/>
      <c r="J8" s="550"/>
      <c r="L8" s="553"/>
      <c r="M8" s="553"/>
      <c r="N8" s="554"/>
    </row>
    <row r="9" spans="3:25" ht="40.5" customHeight="1" thickBot="1">
      <c r="C9" s="532"/>
      <c r="D9" s="534"/>
      <c r="F9" s="161" t="s">
        <v>150</v>
      </c>
      <c r="G9" s="213" t="s">
        <v>239</v>
      </c>
      <c r="H9" s="222" t="s">
        <v>151</v>
      </c>
      <c r="I9" s="223" t="str">
        <f>IFERROR(IF($G$32&lt;0,0,$G$32),"ERROR")</f>
        <v>ERROR</v>
      </c>
      <c r="J9" s="224" t="str">
        <f>IFERROR($E$61,"not valid")</f>
        <v>not valid</v>
      </c>
    </row>
    <row r="10" spans="3:25" ht="40.5" customHeight="1">
      <c r="C10" s="533"/>
      <c r="D10" s="535"/>
      <c r="F10" s="161" t="s">
        <v>153</v>
      </c>
      <c r="G10" s="213" t="s">
        <v>239</v>
      </c>
      <c r="H10" s="233" t="s">
        <v>257</v>
      </c>
      <c r="I10" s="228" t="str">
        <f>IFERROR(IF(($G$32-$F$32)&lt;0,0,($G$32-$F$32)),"ERROR")</f>
        <v>ERROR</v>
      </c>
      <c r="J10" s="229" t="str">
        <f>IFERROR($E$61,"not valid")</f>
        <v>not valid</v>
      </c>
      <c r="L10" s="541" t="s">
        <v>160</v>
      </c>
      <c r="M10" s="542"/>
      <c r="N10" s="542"/>
      <c r="O10" s="543"/>
      <c r="V10" s="101" t="s">
        <v>239</v>
      </c>
      <c r="W10" s="101" t="s">
        <v>239</v>
      </c>
      <c r="X10" s="101" t="s">
        <v>239</v>
      </c>
    </row>
    <row r="11" spans="3:25" ht="30" customHeight="1">
      <c r="C11" s="539" t="s">
        <v>155</v>
      </c>
      <c r="D11" s="540" t="s">
        <v>239</v>
      </c>
      <c r="F11" s="162" t="s">
        <v>156</v>
      </c>
      <c r="G11" s="163">
        <f>IF(OR(G9="&lt;make selection&gt;",G10="&lt;make selection&gt;"),0,IF(G10-G9+1&lt;0,0,G10-G9+1))</f>
        <v>0</v>
      </c>
      <c r="H11" s="536" t="s">
        <v>262</v>
      </c>
      <c r="I11" s="537"/>
      <c r="J11" s="214">
        <f>J12</f>
        <v>0</v>
      </c>
      <c r="L11" s="544"/>
      <c r="M11" s="545"/>
      <c r="N11" s="545"/>
      <c r="O11" s="546"/>
      <c r="V11" s="37">
        <v>44927</v>
      </c>
      <c r="W11" s="102" t="s">
        <v>8</v>
      </c>
      <c r="X11" s="102" t="s">
        <v>142</v>
      </c>
      <c r="Y11" s="102"/>
    </row>
    <row r="12" spans="3:25" ht="29.45" customHeight="1">
      <c r="C12" s="532"/>
      <c r="D12" s="534"/>
      <c r="H12" s="551" t="s">
        <v>227</v>
      </c>
      <c r="I12" s="552"/>
      <c r="J12" s="164">
        <f>$C$34</f>
        <v>0</v>
      </c>
      <c r="L12" s="544"/>
      <c r="M12" s="545"/>
      <c r="N12" s="545"/>
      <c r="O12" s="546"/>
      <c r="V12" s="37">
        <v>44928</v>
      </c>
      <c r="W12" s="117" t="s">
        <v>55</v>
      </c>
      <c r="X12" s="102" t="s">
        <v>143</v>
      </c>
      <c r="Y12" s="102"/>
    </row>
    <row r="13" spans="3:25" ht="40.5" customHeight="1">
      <c r="C13" s="532"/>
      <c r="D13" s="534"/>
      <c r="L13" s="568" t="s">
        <v>251</v>
      </c>
      <c r="M13" s="569"/>
      <c r="N13" s="570" t="str">
        <f>IFERROR($D$31+$D$37+$D$43,"ERROR")</f>
        <v>ERROR</v>
      </c>
      <c r="O13" s="571" t="str">
        <f>IFERROR(H61,"not valid")</f>
        <v>not valid</v>
      </c>
      <c r="V13" s="37">
        <v>44929</v>
      </c>
      <c r="W13" s="117" t="s">
        <v>10</v>
      </c>
      <c r="X13" s="102" t="s">
        <v>144</v>
      </c>
      <c r="Y13" s="102"/>
    </row>
    <row r="14" spans="3:25" ht="30" customHeight="1">
      <c r="F14" s="580" t="s">
        <v>158</v>
      </c>
      <c r="G14" s="581"/>
      <c r="H14" s="581"/>
      <c r="I14" s="581"/>
      <c r="J14" s="582"/>
      <c r="L14" s="568"/>
      <c r="M14" s="569"/>
      <c r="N14" s="570"/>
      <c r="O14" s="571"/>
      <c r="V14" s="37">
        <v>44930</v>
      </c>
      <c r="W14" s="117" t="s">
        <v>57</v>
      </c>
      <c r="X14" s="102" t="s">
        <v>145</v>
      </c>
      <c r="Y14" s="102"/>
    </row>
    <row r="15" spans="3:25" ht="40.5" customHeight="1">
      <c r="F15" s="161" t="s">
        <v>150</v>
      </c>
      <c r="G15" s="206" t="str">
        <f>$G$9</f>
        <v>&lt;make selection&gt;</v>
      </c>
      <c r="H15" s="225" t="s">
        <v>159</v>
      </c>
      <c r="I15" s="226" t="str">
        <f>IFERROR(IF($G$38&lt;0,0,$G$38),"ERROR")</f>
        <v>ERROR</v>
      </c>
      <c r="J15" s="227" t="str">
        <f>IFERROR($E$61,"not valid")</f>
        <v>not valid</v>
      </c>
      <c r="L15" s="572" t="s">
        <v>252</v>
      </c>
      <c r="M15" s="573"/>
      <c r="N15" s="576" t="str">
        <f>IFERROR(IF(OR($D$32+$D$38+$D$44&gt;N13,$D$32+$D$38+$D$44=N13),"----",$D$32+$D$38+$D$44),"ERROR")</f>
        <v>ERROR</v>
      </c>
      <c r="O15" s="578" t="str">
        <f>IFERROR(IF(N15="----","----",H61),"not valid")</f>
        <v>not valid</v>
      </c>
      <c r="V15" s="37">
        <v>44931</v>
      </c>
      <c r="W15" s="117"/>
      <c r="X15" s="102" t="s">
        <v>146</v>
      </c>
      <c r="Y15" s="102"/>
    </row>
    <row r="16" spans="3:25" ht="40.5" customHeight="1">
      <c r="F16" s="161" t="s">
        <v>153</v>
      </c>
      <c r="G16" s="206" t="str">
        <f>$G$10</f>
        <v>&lt;make selection&gt;</v>
      </c>
      <c r="H16" s="233" t="s">
        <v>258</v>
      </c>
      <c r="I16" s="228" t="str">
        <f>IFERROR(IF(($G$38-$F$38)&lt;0,0,($G$38-$F$38)),"ERROR")</f>
        <v>ERROR</v>
      </c>
      <c r="J16" s="229" t="str">
        <f>IFERROR($E$61,"not valid")</f>
        <v>not valid</v>
      </c>
      <c r="L16" s="574"/>
      <c r="M16" s="575"/>
      <c r="N16" s="577"/>
      <c r="O16" s="579"/>
      <c r="V16" s="37">
        <v>44932</v>
      </c>
      <c r="W16" s="117"/>
      <c r="X16" s="101" t="s">
        <v>149</v>
      </c>
      <c r="Y16" s="102"/>
    </row>
    <row r="17" spans="3:25" ht="29.45" customHeight="1" thickBot="1">
      <c r="F17" s="162" t="s">
        <v>161</v>
      </c>
      <c r="G17" s="163">
        <f>IF(OR(G9="&lt;make selection&gt;",G10="&lt;make selection&gt;"),0,IF(G10-G9+1&lt;0,0,G10-G9+1))</f>
        <v>0</v>
      </c>
      <c r="H17" s="536" t="s">
        <v>260</v>
      </c>
      <c r="I17" s="537"/>
      <c r="J17" s="214">
        <f>J18</f>
        <v>0</v>
      </c>
      <c r="L17" s="529" t="str">
        <f>IF(AND(G23-J23&gt;0,G23-J23&lt;11), G23-J23&amp;" days of ADFT cost in case purchasing (max 10 days):", "10 days of ADFT cost in case purchasing (max 10 days):")</f>
        <v>10 days of ADFT cost in case purchasing (max 10 days):</v>
      </c>
      <c r="M17" s="530"/>
      <c r="N17" s="215" t="str">
        <f>IFERROR(N7*IF(RIGHT($D$11,7)="General",
IF(AND($G$23&gt;$J$23,OR($D$11=$W$11,$D$11=$W$12)),
IF($G$23-$J$23&gt;10,
INT(IF($D$11=$W$11,
INDEX('ADFT Tariffs'!G2:G1048576,MATCH("Italy, Spain, Portugal",'ADFT Tariffs'!B2:B1048576,0)),
INDEX('ADFT Tariffs'!H2:H1048576,MATCH("Italy, Spain, Portugal",'ADFT Tariffs'!B2:B1048576,0))))*10,
INT(IF($D$11=$W$11,
INDEX('ADFT Tariffs'!G2:G1048576,MATCH("Italy, Spain, Portugal",'ADFT Tariffs'!B2:B1048576,0)),
INDEX('ADFT Tariffs'!H2:H1048576,MATCH("Italy, Spain, Portugal",'ADFT Tariffs'!B2:B1048576,0))))*($G$23-$J$23)),"0"),
"not valid"),"not valid")</f>
        <v>not valid</v>
      </c>
      <c r="O17" s="216" t="str">
        <f>IF(N18="not valid","not valid",H61)</f>
        <v>not valid</v>
      </c>
      <c r="V17" s="37">
        <v>44933</v>
      </c>
      <c r="W17" s="117"/>
      <c r="X17" s="102" t="s">
        <v>152</v>
      </c>
      <c r="Y17" s="102"/>
    </row>
    <row r="18" spans="3:25" ht="29.45" customHeight="1" thickBot="1">
      <c r="H18" s="551" t="s">
        <v>225</v>
      </c>
      <c r="I18" s="552"/>
      <c r="J18" s="164">
        <f>$C$40</f>
        <v>0</v>
      </c>
      <c r="L18" s="583" t="s">
        <v>246</v>
      </c>
      <c r="M18" s="584"/>
      <c r="N18" s="210" t="str">
        <f>IFERROR(I10+I16+N21,"not valid")</f>
        <v>not valid</v>
      </c>
      <c r="O18" s="211" t="str">
        <f>IF(N18="not valid","not valid",H61)</f>
        <v>not valid</v>
      </c>
      <c r="V18" s="37">
        <v>44934</v>
      </c>
      <c r="W18" s="117"/>
      <c r="X18" s="101" t="s">
        <v>154</v>
      </c>
      <c r="Y18" s="102"/>
    </row>
    <row r="19" spans="3:25" ht="29.45" customHeight="1" thickBot="1">
      <c r="L19" s="585" t="s">
        <v>224</v>
      </c>
      <c r="M19" s="586"/>
      <c r="N19" s="217" t="str">
        <f>IFERROR($D$32+$D$38+$D$44-N18,"not valid")</f>
        <v>not valid</v>
      </c>
      <c r="O19" s="218" t="str">
        <f>IF(N18="not valid","not valid",H61)</f>
        <v>not valid</v>
      </c>
      <c r="V19" s="37">
        <v>44935</v>
      </c>
      <c r="W19" s="102"/>
      <c r="X19" s="101" t="s">
        <v>157</v>
      </c>
      <c r="Y19" s="102"/>
    </row>
    <row r="20" spans="3:25" ht="23.45" customHeight="1">
      <c r="F20" s="567" t="s">
        <v>162</v>
      </c>
      <c r="G20" s="567"/>
      <c r="H20" s="567"/>
      <c r="I20" s="567"/>
      <c r="J20" s="567"/>
      <c r="V20" s="37">
        <v>44936</v>
      </c>
      <c r="W20" s="102"/>
      <c r="Y20" s="102"/>
    </row>
    <row r="21" spans="3:25" ht="40.5" customHeight="1">
      <c r="F21" s="161" t="s">
        <v>153</v>
      </c>
      <c r="G21" s="206" t="str">
        <f>$G$10</f>
        <v>&lt;make selection&gt;</v>
      </c>
      <c r="H21" s="230" t="s">
        <v>163</v>
      </c>
      <c r="I21" s="231">
        <f>IFERROR(IF($G$44&lt;0,0,$G$44),"ERROR")</f>
        <v>0</v>
      </c>
      <c r="J21" s="232" t="str">
        <f>$E$54</f>
        <v>EUR</v>
      </c>
      <c r="L21" s="531" t="str">
        <f>IF(G23-J23&lt;11,"Total cost of detention after "&amp;G23-J23&amp;" days purchase of ADFT total cost:", "Total cost after 10 days purchase of ADFT:")</f>
        <v>Total cost of detention after 0 days purchase of ADFT total cost:</v>
      </c>
      <c r="M21" s="531"/>
      <c r="N21" s="212" t="str">
        <f>IFERROR(D44-I44+N17,"not valid")</f>
        <v>not valid</v>
      </c>
      <c r="O21" s="212" t="str">
        <f>IF(N18="not valid","not valid",H61)</f>
        <v>not valid</v>
      </c>
      <c r="V21" s="37">
        <v>44937</v>
      </c>
      <c r="W21" s="117"/>
      <c r="X21" s="102"/>
      <c r="Y21" s="102"/>
    </row>
    <row r="22" spans="3:25" ht="40.5" customHeight="1">
      <c r="F22" s="161" t="s">
        <v>164</v>
      </c>
      <c r="G22" s="213" t="s">
        <v>239</v>
      </c>
      <c r="H22" s="233" t="s">
        <v>259</v>
      </c>
      <c r="I22" s="228">
        <f>IFERROR(IF(($G$44-$F$44)&lt;0,0,($G$44-$F$44)),"ERROR")</f>
        <v>0</v>
      </c>
      <c r="J22" s="229" t="str">
        <f>$E$37</f>
        <v>EUR</v>
      </c>
      <c r="L22" s="443" t="str">
        <f>"We recommend you to purchase additional freetime to your booking via below link."</f>
        <v>We recommend you to purchase additional freetime to your booking via below link.</v>
      </c>
      <c r="M22" s="443"/>
      <c r="N22" s="443"/>
      <c r="O22" s="443"/>
      <c r="V22" s="37">
        <v>44938</v>
      </c>
      <c r="W22" s="102"/>
      <c r="Y22" s="102"/>
    </row>
    <row r="23" spans="3:25" ht="27.6" customHeight="1">
      <c r="F23" s="162" t="s">
        <v>165</v>
      </c>
      <c r="G23" s="163">
        <f>IF(OR(G22="&lt;make selection&gt;",G21="&lt;make selection&gt;"),0,IF(G22-G21+1&lt;0,0,G22-G21+1))</f>
        <v>0</v>
      </c>
      <c r="H23" s="536" t="s">
        <v>261</v>
      </c>
      <c r="I23" s="537"/>
      <c r="J23" s="214">
        <f>J24</f>
        <v>0</v>
      </c>
      <c r="L23" s="527" t="str">
        <f>IF(L22="","","https://solutions.hapag-lloyd.com/navigator/#/dashboard")</f>
        <v>https://solutions.hapag-lloyd.com/navigator/#/dashboard</v>
      </c>
      <c r="M23" s="528"/>
      <c r="N23" s="528"/>
      <c r="O23" s="528"/>
      <c r="V23" s="37">
        <v>44939</v>
      </c>
      <c r="W23" s="102"/>
      <c r="Y23" s="102"/>
    </row>
    <row r="24" spans="3:25" ht="29.45" customHeight="1">
      <c r="H24" s="551" t="s">
        <v>226</v>
      </c>
      <c r="I24" s="552"/>
      <c r="J24" s="164">
        <f>$C$46</f>
        <v>0</v>
      </c>
      <c r="V24" s="37">
        <v>44940</v>
      </c>
      <c r="W24" s="102"/>
      <c r="X24" s="102"/>
      <c r="Y24" s="102"/>
    </row>
    <row r="25" spans="3:25" ht="23.45" customHeight="1" thickBot="1">
      <c r="K25" s="116"/>
      <c r="V25" s="37">
        <v>44941</v>
      </c>
      <c r="W25" s="102"/>
      <c r="X25" s="102"/>
      <c r="Y25" s="102"/>
    </row>
    <row r="26" spans="3:25" ht="29.45" customHeight="1">
      <c r="C26" s="47" t="s">
        <v>242</v>
      </c>
      <c r="V26" s="37">
        <v>44942</v>
      </c>
      <c r="W26" s="102"/>
      <c r="X26" s="102"/>
      <c r="Y26" s="102"/>
    </row>
    <row r="27" spans="3:25" ht="29.45" customHeight="1">
      <c r="C27" s="436" t="s">
        <v>134</v>
      </c>
      <c r="D27" s="436"/>
      <c r="E27" s="436"/>
      <c r="F27" s="436"/>
      <c r="G27" s="436"/>
      <c r="V27" s="37">
        <v>44943</v>
      </c>
      <c r="W27" s="102"/>
      <c r="X27" s="102"/>
      <c r="Y27" s="102"/>
    </row>
    <row r="28" spans="3:25" ht="29.45" customHeight="1">
      <c r="C28" s="47" t="s">
        <v>243</v>
      </c>
      <c r="V28" s="37">
        <v>44944</v>
      </c>
      <c r="W28" s="102"/>
      <c r="X28" s="102"/>
      <c r="Y28" s="102"/>
    </row>
    <row r="29" spans="3:25" ht="29.45" hidden="1" customHeight="1">
      <c r="V29" s="37">
        <v>44945</v>
      </c>
      <c r="W29" s="102"/>
      <c r="X29" s="102"/>
      <c r="Y29" s="102"/>
    </row>
    <row r="30" spans="3:25" ht="27" hidden="1" customHeight="1" thickBot="1">
      <c r="V30" s="37">
        <v>44946</v>
      </c>
      <c r="W30" s="102"/>
      <c r="X30" s="102"/>
      <c r="Y30" s="102"/>
    </row>
    <row r="31" spans="3:25" ht="25.5" hidden="1" customHeight="1" thickBot="1">
      <c r="C31" s="105" t="s">
        <v>166</v>
      </c>
      <c r="D31" s="106" t="e">
        <f>IF($G$32&lt;0,0,$G$32)</f>
        <v>#N/A</v>
      </c>
      <c r="E31" s="107" t="e">
        <f>$E$61</f>
        <v>#N/A</v>
      </c>
      <c r="F31" s="101" t="s">
        <v>16</v>
      </c>
      <c r="G31" s="101" t="s">
        <v>17</v>
      </c>
      <c r="V31" s="37">
        <v>44947</v>
      </c>
      <c r="W31" s="102"/>
      <c r="X31" s="102"/>
      <c r="Y31" s="102"/>
    </row>
    <row r="32" spans="3:25" ht="26.25" hidden="1" customHeight="1" thickBot="1">
      <c r="C32" s="105" t="s">
        <v>167</v>
      </c>
      <c r="D32" s="106" t="e">
        <f>IF(($G$32-$F$32)&lt;0,0,($G$32-$F$32))</f>
        <v>#N/A</v>
      </c>
      <c r="E32" s="107" t="e">
        <f>$E$31</f>
        <v>#N/A</v>
      </c>
      <c r="F32" s="101" t="e">
        <f>IF(IF(($J$11-C34)&lt;=D34,($J$11-C34)*D35,IF(($J$11-C34-D34)&lt;=E34,(($J$11-C34-D34)*E35+D34*D35),IF(($J$11-C34-D34-E34)&lt;=F34,(($J$11-C34-D34-E34)*F35+D34*D35+E34*E35),IF(($J$11-C34-D34-E34-F34)&lt;=G34,(($J$11-C34-D34-E34-F34)*G35+D34*D35+E34*E35+F34*F35),(D34*D35+E34*E35+F34*F35+G34*G35+H35*($J$11-C34-D34-E34-F34-G34))))))&lt;0,0,IF(($J$11-C34)&lt;=D34,($J$11-C34)*D35,IF(($J$11-C34-D34)&lt;=E34,(($J$11-C34-D34)*E35+D34*D35),IF(($J$11-C34-D34-E34)&lt;=F34,(($J$11-C34-D34-E34)*F35+D34*D35+E34*E35),IF(($J$11-C34-D34-E34-F34)&lt;=G34,(($J$11-C34-D34-E34-F34)*G35+D34*D35+E34*E35+F34*F35),(D34*D35+E34*E35+F34*F35+G34*G35+H35*($J$11-C34-D34-E34-F34-G34)))))))</f>
        <v>#N/A</v>
      </c>
      <c r="G32" s="101" t="e">
        <f>IF(($G$11-C34)&lt;=D34,($G$11-C34)*D35,IF(($G$11-C34-D34)&lt;=E34,(($G$11-C34-D34)*E35+D34*D35),IF(($G$11-C34-D34-E34)&lt;=F34,(($G$11-C34-D34-E34)*F35+D34*D35+E34*E35),IF(($G$11-C34-D34-E34-F34)&lt;=G34,(($G$11-C34-D34-E34-F34)*G35+D34*D35+E34*E35+F34*F35),(D34*D35+E34*E35+F34*F35+G34*G35+H35*($G$11-C34-D34-E34-F34-G34))))))</f>
        <v>#N/A</v>
      </c>
      <c r="H32" s="101" t="e">
        <f>G32-F32</f>
        <v>#N/A</v>
      </c>
      <c r="V32" s="37">
        <v>44948</v>
      </c>
      <c r="W32" s="102"/>
      <c r="X32" s="102"/>
      <c r="Y32" s="102"/>
    </row>
    <row r="33" spans="3:26" ht="23.25" hidden="1" customHeight="1">
      <c r="C33" s="108" t="s">
        <v>168</v>
      </c>
      <c r="D33" s="108" t="s">
        <v>13</v>
      </c>
      <c r="E33" s="108" t="s">
        <v>14</v>
      </c>
      <c r="F33" s="109" t="s">
        <v>169</v>
      </c>
      <c r="G33" s="110" t="s">
        <v>170</v>
      </c>
      <c r="H33" s="111" t="s">
        <v>171</v>
      </c>
      <c r="V33" s="37">
        <v>44949</v>
      </c>
      <c r="W33" s="102"/>
      <c r="X33" s="102"/>
      <c r="Y33" s="102"/>
    </row>
    <row r="34" spans="3:26" ht="18.75" hidden="1">
      <c r="C34" s="112">
        <f>IFERROR(INDEX($C$60:$O$65,1,MATCH($D$11,$C$58:$O$58,0)),0)</f>
        <v>0</v>
      </c>
      <c r="D34" s="112" t="e">
        <f>INDEX($C$60:$U$65,2,MATCH($D$11,$C$58:$U$58,0))</f>
        <v>#N/A</v>
      </c>
      <c r="E34" s="112" t="e">
        <f>INDEX($C$60:$U$65,3,MATCH($D$11,$C$58:$U$58,0))</f>
        <v>#N/A</v>
      </c>
      <c r="F34" s="112" t="e">
        <f>INDEX($C$60:$U$65,4,MATCH($D$11,$C$58:$U$58,0))</f>
        <v>#N/A</v>
      </c>
      <c r="G34" s="112" t="e">
        <f>INDEX($C$60:$U$65,5,MATCH($D$11,$C$58:$U$58,0))</f>
        <v>#N/A</v>
      </c>
      <c r="H34" s="112" t="e">
        <f>INDEX($C$60:$U$65,6,MATCH($D$11,$C$58:$U$58,0))</f>
        <v>#N/A</v>
      </c>
      <c r="V34" s="37">
        <v>44950</v>
      </c>
      <c r="W34" s="102"/>
      <c r="X34" s="102"/>
      <c r="Y34" s="102"/>
    </row>
    <row r="35" spans="3:26" ht="52.5" hidden="1" customHeight="1">
      <c r="C35" s="112" t="e">
        <f>INDEX($C$60:$U$65,1,MATCH($D$11,$C$58:$U$58,0)+2)</f>
        <v>#N/A</v>
      </c>
      <c r="D35" s="112" t="e">
        <f>INDEX($C$60:$U$65,2,MATCH($D$11,$C$58:$U$58,0)+2)</f>
        <v>#N/A</v>
      </c>
      <c r="E35" s="112" t="e">
        <f>INDEX($C$60:$U$65,3,MATCH($D$11,$C$58:$U$58,0)+2)</f>
        <v>#N/A</v>
      </c>
      <c r="F35" s="112" t="e">
        <f>INDEX($C$60:$U$65,4,MATCH($D$11,$C$58:$U$58,0)+2)</f>
        <v>#N/A</v>
      </c>
      <c r="G35" s="112" t="e">
        <f>INDEX($C$60:$U$65,5,MATCH($D$11,$C$58:$U$58,0)+2)</f>
        <v>#N/A</v>
      </c>
      <c r="H35" s="112" t="e">
        <f>INDEX($C$60:$U$65,6,MATCH($D$11,$C$58:$U$58,0)+2)</f>
        <v>#N/A</v>
      </c>
      <c r="V35" s="37">
        <v>44951</v>
      </c>
      <c r="W35" s="102"/>
      <c r="X35" s="102"/>
      <c r="Y35" s="102"/>
      <c r="Z35" s="102"/>
    </row>
    <row r="36" spans="3:26" ht="19.5" hidden="1" thickBot="1">
      <c r="V36" s="37">
        <v>44952</v>
      </c>
      <c r="W36" s="102"/>
      <c r="X36" s="102"/>
      <c r="Y36" s="102"/>
      <c r="Z36" s="102"/>
    </row>
    <row r="37" spans="3:26" ht="23.25" hidden="1" thickBot="1">
      <c r="C37" s="105" t="s">
        <v>172</v>
      </c>
      <c r="D37" s="106" t="e">
        <f>IF($G$38&lt;0,0,$G$38)</f>
        <v>#N/A</v>
      </c>
      <c r="E37" s="107" t="str">
        <f>$E$54</f>
        <v>EUR</v>
      </c>
      <c r="F37" s="103"/>
      <c r="G37" s="103"/>
      <c r="H37" s="103"/>
      <c r="I37" s="103"/>
      <c r="J37" s="103"/>
      <c r="K37" s="103"/>
      <c r="V37" s="37">
        <v>44953</v>
      </c>
      <c r="W37" s="102"/>
      <c r="X37" s="102"/>
      <c r="Y37" s="102"/>
      <c r="Z37" s="102"/>
    </row>
    <row r="38" spans="3:26" ht="24.75" hidden="1" thickBot="1">
      <c r="C38" s="113" t="s">
        <v>173</v>
      </c>
      <c r="D38" s="106" t="e">
        <f>IF(($G$38-$F$38)&lt;0,0,($G$38-$F$38))</f>
        <v>#N/A</v>
      </c>
      <c r="E38" s="107" t="str">
        <f>$E$37</f>
        <v>EUR</v>
      </c>
      <c r="F38" s="101" t="e">
        <f>IF(IF(($J$17-C40)&lt;=D40,($J$17-C40)*D41,IF(($J$17-C40-D40)&lt;=E40,(($J$17-C40-D40)*E41+D40*D41),IF(($J$17-C40-D40-E40)&lt;=F40,(($J$17-C40-D40-E40)*F41+D40*D41+E40*E41),IF(($J$17-C40-D40-E40-F40)&lt;=G40,(($J$17-C40-D40-E40-F40)*G41+D40*D41+E40*E41+F40*F41),(D40*D41+E40*E41+F40*F41+G40*G41+H41*($J$17-C40-D40-E40-F40-G40))))))&lt;0,0,IF(($J$17-C40)&lt;=D40,($J$17-C40)*D41,IF(($J$17-C40-D40)&lt;=E40,(($J$17-C40-D40)*E41+D40*D41),IF(($J$17-C40-D40-E40)&lt;=F40,(($J$17-C40-D40-E40)*F41+D40*D41+E40*E41),IF(($J$17-C40-D40-E40-F40)&lt;=G40,(($J$17-C40-D40-E40-F40)*G41+D40*D41+E40*E41+F40*F41),(D40*D41+E40*E41+F40*F41+G40*G41+H41*($J$17-C40-D40-E40-F40-G40)))))))</f>
        <v>#N/A</v>
      </c>
      <c r="G38" s="101" t="e">
        <f>IF(($G$17-C40)&lt;=D40,($G$17-C40)*D41,IF(($G$17-C40-D40)&lt;=E40,(($G$17-C40-D40)*E41+D40*D41),IF(($G$17-C40-D40-E40)&lt;=F40,(($G$17-C40-D40-E40)*F41+D40*D41+E40*E41),IF(($G$17-C40-D40-E40-F40)&lt;=G40,(($G$17-C40-D40-E40-F40)*G41+D40*D41+E40*E41+F40*F41),(D40*D41+E40*E41+F40*F41+G40*G41+H41*($G$17-C40-D40-E40-F40-G40))))))</f>
        <v>#N/A</v>
      </c>
      <c r="H38" s="101" t="e">
        <f>G38-F38</f>
        <v>#N/A</v>
      </c>
      <c r="I38" s="103"/>
      <c r="J38" s="103"/>
      <c r="K38" s="103"/>
      <c r="V38" s="37">
        <v>44954</v>
      </c>
      <c r="W38" s="102"/>
      <c r="X38" s="102"/>
      <c r="Y38" s="102"/>
      <c r="Z38" s="102"/>
    </row>
    <row r="39" spans="3:26" ht="14.45" hidden="1" customHeight="1">
      <c r="C39" s="110" t="s">
        <v>174</v>
      </c>
      <c r="D39" s="111" t="s">
        <v>13</v>
      </c>
      <c r="E39" s="114" t="s">
        <v>14</v>
      </c>
      <c r="F39" s="111" t="s">
        <v>169</v>
      </c>
      <c r="V39" s="37">
        <v>44955</v>
      </c>
      <c r="X39" s="102"/>
    </row>
    <row r="40" spans="3:26" ht="14.45" hidden="1" customHeight="1">
      <c r="C40" s="108">
        <f>IFERROR(INDEX($C$53:$U$56,1,MATCH($D$11,$C$51:$U$51,0)),0)</f>
        <v>0</v>
      </c>
      <c r="D40" s="108" t="e">
        <f>INDEX($C$53:$U$56,2,MATCH($D$11,$C$51:$U$51,0))</f>
        <v>#N/A</v>
      </c>
      <c r="E40" s="115" t="e">
        <f>INDEX($C$53:$U$56,3,MATCH($D$11,$C$51:$U$51,0))</f>
        <v>#N/A</v>
      </c>
      <c r="F40" s="111" t="e">
        <f>INDEX($C$53:$U$56,4,MATCH($D$11,$C$51:$U$51,0))</f>
        <v>#N/A</v>
      </c>
      <c r="V40" s="37">
        <v>44956</v>
      </c>
      <c r="X40" s="102"/>
    </row>
    <row r="41" spans="3:26" ht="14.45" hidden="1" customHeight="1">
      <c r="C41" s="112" t="e" cm="1">
        <f t="array" ref="C41">INDEX($C$53:$U$56,1,MATCH($D$11,$C$51:$U$51,0)+2)</f>
        <v>#N/A</v>
      </c>
      <c r="D41" s="112" t="e" cm="1">
        <f t="array" ref="D41">INDEX($C$53:$U$56,2,MATCH($D$11,$C$51:$U$51,0)+2)</f>
        <v>#N/A</v>
      </c>
      <c r="E41" s="109" t="e" cm="1">
        <f t="array" ref="E41">INDEX($C$53:$U$56,3,MATCH($D$11,$C$51:$U$51,0)+2)</f>
        <v>#N/A</v>
      </c>
      <c r="F41" s="111" t="e" cm="1">
        <f t="array" ref="F41">INDEX($C$53:$U$56,4,MATCH($D$11,$C$51:$U$51,0)+2)</f>
        <v>#N/A</v>
      </c>
      <c r="V41" s="37">
        <v>44957</v>
      </c>
      <c r="X41" s="102"/>
    </row>
    <row r="42" spans="3:26" ht="19.5" hidden="1" thickBot="1">
      <c r="V42" s="37">
        <v>44958</v>
      </c>
      <c r="X42" s="102"/>
    </row>
    <row r="43" spans="3:26" ht="23.25" hidden="1" thickBot="1">
      <c r="C43" s="105" t="s">
        <v>175</v>
      </c>
      <c r="D43" s="106">
        <f>IF($G$44&lt;0,0,$G$44)</f>
        <v>0</v>
      </c>
      <c r="E43" s="107" t="str">
        <f>$E$54</f>
        <v>EUR</v>
      </c>
      <c r="F43" s="103"/>
      <c r="G43" s="103"/>
      <c r="H43" s="103"/>
      <c r="V43" s="37">
        <v>44959</v>
      </c>
      <c r="X43" s="102"/>
    </row>
    <row r="44" spans="3:26" ht="24.75" hidden="1" thickBot="1">
      <c r="C44" s="113" t="s">
        <v>176</v>
      </c>
      <c r="D44" s="106">
        <f>IF(($G$44-$F$44)&lt;0,0,($G$44-$F$44))</f>
        <v>0</v>
      </c>
      <c r="E44" s="107" t="str">
        <f>$E$37</f>
        <v>EUR</v>
      </c>
      <c r="F44" s="101">
        <f>IF(IF(($J$23-C46)&lt;=D46,($J$23-C46)*D47,IF(($J$23-C46-D46)&lt;=E46,(($J$23-C46-D46)*E47+D46*D47),IF(($J$23-C46-D46-E46)&lt;=F46,(($J$23-C46-D46-E46)*F47+D46*D47+E46*E47),IF(($J$23-C46-D46-E46-F46)&lt;=G46,(($J$23-C46-D46-E46-F46)*G47+D46*D47+E46*E47+F46*F47),(D46*D47+E46*E47+F46*F47+G46*G47+H47*($J$23-C46-D46-E46-F46-G46))))))&lt;0,0,IF(($J$23-C46)&lt;=D46,($J$23-C46)*D47,IF(($J$23-C46-D46)&lt;=E46,(($J$23-C46-D46)*E47+D46*D47),IF(($J$23-C46-D46-E46)&lt;=F46,(($J$23-C46-D46-E46)*F47+D46*D47+E46*E47),IF(($J$23-C46-D46-E46-F46)&lt;=G46,(($J$23-C46-D46-E46-F46)*G47+D46*D47+E46*E47+F46*F47),(D46*D47+E46*E47+F46*F47+G46*G47+H47*($J$23-C46-D46-E46-F46-G46)))))))</f>
        <v>0</v>
      </c>
      <c r="G44" s="101">
        <f>IF(($G$23-C46)&lt;=D46,($G$23-C46)*D47,IF(($G$23-C46-D46)&lt;=E46,(($G$23-C46-D46)*E47+D46*D47),IF(($G$23-C46-D46-E46)&lt;=F46,(($G$23-C46-D46-E46)*F47+D46*D47+E46*E47),IF(($G$23-C46-D46-E46-F46)&lt;=G46,(($G$23-C46-D46-E46-F46)*G47+D46*D47+E46*E47+F46*F47),(D46*D47+E46*E47+F46*F47+G46*G47+H47*($G$23-C46-D46-E46-F46-G46))))))</f>
        <v>0</v>
      </c>
      <c r="H44" s="101">
        <f>G44-F44</f>
        <v>0</v>
      </c>
      <c r="I44" s="160">
        <f>IF((IF($G$23-$J$23&gt;10,10,IF($G$23-$J$23&lt;0,0,$G$23-$J$23)))&lt;=D46,(IF($G$23-$J$23&gt;10,10,IF($G$23-$J$23&lt;0,0,$G$23-$J$23)))*D47,IF((IF($G$23-$J$23&gt;10,10,IF($G$23-$J$23&lt;0,0,$G$23-$J$23))-D46)&lt;=E46,((IF($G$23-$J$23&gt;10,10,IF($G$23-$J$23&lt;0,0,$G$23-$J$23))-D46)*E47+D46*D47),IF((IF($G$23-$J$23&gt;10,10,IF($G$23-$J$23&lt;0,0,$G$23-$J$23))-D46-E46)&lt;=F46,((IF($G$23-$J$23&gt;10,10,IF($G$23-$J$23&lt;0,0,$G$23-$J$23))-D46-E46)*F47+D46*D47+E46*E47),IF((IF($G$23-$J$23&gt;10,10,IF($G$23-$J$23&lt;0,0,$G$23-$J$23))-D46-E46-F46)&lt;=G46,((IF($G$23-$J$23&gt;10,10,IF($G$23-$J$23&lt;0,0,$G$23-$J$23))-D46-E46-F46)*G47+D46*D47+E46*E47+F46*F47),(D46*D47+E46*E47+F46*F47+G46*G47+H47*(IF($G$23-$J$23&gt;10,10,IF($G$23-$J$23&lt;0,0,$G$23-$J$23))-D46-E46-F46-G46))))))</f>
        <v>0</v>
      </c>
      <c r="V44" s="37">
        <v>44960</v>
      </c>
      <c r="X44" s="102"/>
    </row>
    <row r="45" spans="3:26" ht="18.75" hidden="1">
      <c r="C45" s="110" t="s">
        <v>177</v>
      </c>
      <c r="D45" s="111" t="s">
        <v>13</v>
      </c>
      <c r="E45" s="114" t="s">
        <v>14</v>
      </c>
      <c r="F45" s="111" t="s">
        <v>169</v>
      </c>
      <c r="V45" s="37">
        <v>44961</v>
      </c>
      <c r="X45" s="102"/>
    </row>
    <row r="46" spans="3:26" ht="18.75" hidden="1">
      <c r="C46" s="108">
        <f>IFERROR(INDEX($C$69:$U$70,1,MATCH($D$11,$C$67:$U$67,0)),0)</f>
        <v>0</v>
      </c>
      <c r="D46" s="108">
        <f>IFERROR(INDEX($C$69:$U$70,2,MATCH($D$11,$C$67:$U$67,0)),0)</f>
        <v>0</v>
      </c>
      <c r="E46" s="108">
        <f>IFERROR(INDEX($C$69:$U$70,3,MATCH($D$11,$C$67:$U$67,0)),0)</f>
        <v>0</v>
      </c>
      <c r="F46" s="108">
        <f>IFERROR(INDEX($C$69:$U$70,4,MATCH($D$11,$C$67:$U$67,0)),0)</f>
        <v>0</v>
      </c>
      <c r="V46" s="37">
        <v>44962</v>
      </c>
      <c r="X46" s="102"/>
    </row>
    <row r="47" spans="3:26" ht="18.75" hidden="1">
      <c r="C47" s="108" cm="1">
        <f t="array" ref="C47">IFERROR(INDEX($C$69:$U$70,1,MATCH($D$11,$C$67:$U$67,0)+2),0)</f>
        <v>0</v>
      </c>
      <c r="D47" s="108" cm="1">
        <f t="array" ref="D47">IFERROR(INDEX($C$69:$U$70,2,MATCH($D$11,$C$67:$U$67,0)+2),0)</f>
        <v>0</v>
      </c>
      <c r="E47" s="108" cm="1">
        <f t="array" ref="E47">IFERROR(INDEX($C$69:$U$70,3,MATCH($D$11,$C$67:$U$67,0)+2),0)</f>
        <v>0</v>
      </c>
      <c r="F47" s="108" cm="1">
        <f t="array" ref="F47">IFERROR(INDEX($C$69:$U$70,4,MATCH($D$11,$C$67:$U$67,0)+2),0)</f>
        <v>0</v>
      </c>
      <c r="V47" s="37">
        <v>44963</v>
      </c>
      <c r="X47" s="102"/>
    </row>
    <row r="48" spans="3:26" ht="19.5" thickBot="1">
      <c r="V48" s="37">
        <v>44964</v>
      </c>
      <c r="X48" s="102"/>
    </row>
    <row r="49" spans="3:24" ht="22.9" customHeight="1" thickBot="1">
      <c r="C49" s="555" t="str">
        <f>D8 &amp; " Port - Storage &amp; Demurrage and Detention Cost List"</f>
        <v>&lt;make selection&gt; Port - Storage &amp; Demurrage and Detention Cost List</v>
      </c>
      <c r="D49" s="556"/>
      <c r="E49" s="556"/>
      <c r="F49" s="556"/>
      <c r="G49" s="556"/>
      <c r="H49" s="556"/>
      <c r="I49" s="556"/>
      <c r="J49" s="556"/>
      <c r="K49" s="556"/>
      <c r="L49" s="556"/>
      <c r="M49" s="556"/>
      <c r="N49" s="556"/>
      <c r="O49" s="557"/>
      <c r="P49" s="100"/>
      <c r="Q49" s="100"/>
      <c r="R49" s="100"/>
      <c r="S49" s="100"/>
      <c r="T49" s="100"/>
      <c r="U49" s="100"/>
      <c r="V49" s="37">
        <v>44965</v>
      </c>
      <c r="X49" s="102"/>
    </row>
    <row r="50" spans="3:24" ht="15" customHeight="1" thickBot="1">
      <c r="V50" s="37">
        <v>44966</v>
      </c>
      <c r="X50" s="102"/>
    </row>
    <row r="51" spans="3:24" ht="30.6" customHeight="1" thickBot="1">
      <c r="C51" s="157" t="s">
        <v>178</v>
      </c>
      <c r="D51" s="129" t="s">
        <v>8</v>
      </c>
      <c r="E51" s="130" t="s">
        <v>8</v>
      </c>
      <c r="F51" s="131" t="s">
        <v>8</v>
      </c>
      <c r="G51" s="129" t="s">
        <v>55</v>
      </c>
      <c r="H51" s="130" t="s">
        <v>55</v>
      </c>
      <c r="I51" s="131" t="s">
        <v>55</v>
      </c>
      <c r="J51" s="129" t="s">
        <v>10</v>
      </c>
      <c r="K51" s="130" t="s">
        <v>10</v>
      </c>
      <c r="L51" s="131" t="s">
        <v>10</v>
      </c>
      <c r="M51" s="129" t="s">
        <v>57</v>
      </c>
      <c r="N51" s="130" t="s">
        <v>57</v>
      </c>
      <c r="O51" s="131" t="s">
        <v>57</v>
      </c>
      <c r="V51" s="37">
        <v>44967</v>
      </c>
      <c r="X51" s="102"/>
    </row>
    <row r="52" spans="3:24" ht="18.75">
      <c r="C52" s="132" t="s">
        <v>179</v>
      </c>
      <c r="D52" s="138" t="s">
        <v>2</v>
      </c>
      <c r="E52" s="118" t="s">
        <v>3</v>
      </c>
      <c r="F52" s="122" t="s">
        <v>4</v>
      </c>
      <c r="G52" s="138" t="s">
        <v>2</v>
      </c>
      <c r="H52" s="118" t="s">
        <v>3</v>
      </c>
      <c r="I52" s="122" t="s">
        <v>4</v>
      </c>
      <c r="J52" s="138" t="s">
        <v>2</v>
      </c>
      <c r="K52" s="118" t="s">
        <v>3</v>
      </c>
      <c r="L52" s="122" t="s">
        <v>4</v>
      </c>
      <c r="M52" s="138" t="s">
        <v>2</v>
      </c>
      <c r="N52" s="118" t="s">
        <v>3</v>
      </c>
      <c r="O52" s="122" t="s">
        <v>4</v>
      </c>
      <c r="V52" s="37">
        <v>44968</v>
      </c>
      <c r="X52" s="102"/>
    </row>
    <row r="53" spans="3:24" ht="18.75">
      <c r="C53" s="133" t="str">
        <f>INDEX('Storage Tariffs (West)'!$A$1:$N$210,MATCH($C$51,'Storage Tariffs (West)'!$A$1:$A$210,0),D$66-1)</f>
        <v>Freetime</v>
      </c>
      <c r="D53" s="139">
        <f>INDEX('Storage Tariffs (West)'!$A$1:$N$210,MATCH($C$51,'Storage Tariffs (West)'!$A$1:$A$210,0),D$66)</f>
        <v>7</v>
      </c>
      <c r="E53" s="120">
        <f>INDEX('Storage Tariffs (West)'!$A$1:$N$210,MATCH($C$51,'Storage Tariffs (West)'!$A$1:$A$210,0),E$66)</f>
        <v>0</v>
      </c>
      <c r="F53" s="123">
        <f>INDEX('Storage Tariffs (West)'!$A$1:$N$210,MATCH($C$51,'Storage Tariffs (West)'!$A$1:$A$210,0),F$66)</f>
        <v>0</v>
      </c>
      <c r="G53" s="139">
        <f>INDEX('Storage Tariffs (West)'!$A$1:$N$210,MATCH($C$51,'Storage Tariffs (West)'!$A$1:$A$210,0),G$66)</f>
        <v>7</v>
      </c>
      <c r="H53" s="120" t="str">
        <f>INDEX('Storage Tariffs (West)'!$A$1:$N$210,MATCH($C$51,'Storage Tariffs (West)'!$A$1:$A$210,0),H$66)</f>
        <v/>
      </c>
      <c r="I53" s="123">
        <f>INDEX('Storage Tariffs (West)'!$A$1:$N$210,MATCH($C$51,'Storage Tariffs (West)'!$A$1:$A$210,0),I$66)</f>
        <v>0</v>
      </c>
      <c r="J53" s="139">
        <f>INDEX('Storage Tariffs (West)'!$A$1:$N$210,MATCH($C$51,'Storage Tariffs (West)'!$A$1:$A$210,0),J$66)</f>
        <v>2</v>
      </c>
      <c r="K53" s="120" t="str">
        <f>INDEX('Storage Tariffs (West)'!$A$1:$N$210,MATCH($C$51,'Storage Tariffs (West)'!$A$1:$A$210,0),K$66)</f>
        <v/>
      </c>
      <c r="L53" s="123">
        <f>INDEX('Storage Tariffs (West)'!$A$1:$N$210,MATCH($C$51,'Storage Tariffs (West)'!$A$1:$A$210,0),L$66)</f>
        <v>0</v>
      </c>
      <c r="M53" s="139">
        <f>INDEX('Storage Tariffs (West)'!$A$1:$N$210,MATCH($C$51,'Storage Tariffs (West)'!$A$1:$A$210,0),M$66)</f>
        <v>2</v>
      </c>
      <c r="N53" s="120">
        <f>INDEX('Storage Tariffs (West)'!$A$1:$N$210,MATCH($C$51,'Storage Tariffs (West)'!$A$1:$A$210,0),N$66)</f>
        <v>0</v>
      </c>
      <c r="O53" s="123">
        <f>INDEX('Storage Tariffs (West)'!$A$1:$N$210,MATCH($C$51,'Storage Tariffs (West)'!$A$1:$A$210,0),O$66)</f>
        <v>0</v>
      </c>
      <c r="V53" s="37">
        <v>44969</v>
      </c>
      <c r="X53" s="102"/>
    </row>
    <row r="54" spans="3:24" ht="18.75">
      <c r="C54" s="134" t="str">
        <f>INDEX('Storage Tariffs (West)'!$A$1:$N$210,MATCH($C$51,'Storage Tariffs (West)'!$A$1:$A$210,0)+1,D$66-1)</f>
        <v>1st Period</v>
      </c>
      <c r="D54" s="140">
        <f>INDEX('Storage Tariffs (West)'!$A$1:$N$210,MATCH($C$51,'Storage Tariffs (West)'!$A$1:$A$210,0)+1,D$66)</f>
        <v>5</v>
      </c>
      <c r="E54" s="119" t="str">
        <f>INDEX('Storage Tariffs (West)'!$A$1:$N$210,MATCH($C$51,'Storage Tariffs (West)'!$A$1:$A$210,0)+1,E$66)</f>
        <v>EUR</v>
      </c>
      <c r="F54" s="125">
        <f>INDEX('Storage Tariffs (West)'!$A$1:$N$210,MATCH($C$51,'Storage Tariffs (West)'!$A$1:$A$210,0)+1,F$66)</f>
        <v>38</v>
      </c>
      <c r="G54" s="140">
        <f>INDEX('Storage Tariffs (West)'!$A$1:$N$210,MATCH($C$51,'Storage Tariffs (West)'!$A$1:$A$210,0)+1,G$66)</f>
        <v>5</v>
      </c>
      <c r="H54" s="119" t="str">
        <f>INDEX('Storage Tariffs (West)'!$A$1:$N$210,MATCH($C$51,'Storage Tariffs (West)'!$A$1:$A$210,0)+1,H$66)</f>
        <v>EUR</v>
      </c>
      <c r="I54" s="125">
        <f>INDEX('Storage Tariffs (West)'!$A$1:$N$210,MATCH($C$51,'Storage Tariffs (West)'!$A$1:$A$210,0)+1,I$66)</f>
        <v>57</v>
      </c>
      <c r="J54" s="140">
        <f>INDEX('Storage Tariffs (West)'!$A$1:$N$210,MATCH($C$51,'Storage Tariffs (West)'!$A$1:$A$210,0)+1,J$66)</f>
        <v>0</v>
      </c>
      <c r="K54" s="119">
        <f>INDEX('Storage Tariffs (West)'!$A$1:$N$210,MATCH($C$51,'Storage Tariffs (West)'!$A$1:$A$210,0)+1,K$66)</f>
        <v>0</v>
      </c>
      <c r="L54" s="125">
        <f>INDEX('Storage Tariffs (West)'!$A$1:$N$210,MATCH($C$51,'Storage Tariffs (West)'!$A$1:$A$210,0)+1,L$66)</f>
        <v>0</v>
      </c>
      <c r="M54" s="140">
        <f>INDEX('Storage Tariffs (West)'!$A$1:$N$210,MATCH($C$51,'Storage Tariffs (West)'!$A$1:$A$210,0)+1,M$66)</f>
        <v>0</v>
      </c>
      <c r="N54" s="119">
        <f>INDEX('Storage Tariffs (West)'!$A$1:$N$210,MATCH($C$51,'Storage Tariffs (West)'!$A$1:$A$210,0)+1,N$66)</f>
        <v>0</v>
      </c>
      <c r="O54" s="125">
        <f>INDEX('Storage Tariffs (West)'!$A$1:$N$210,MATCH($C$51,'Storage Tariffs (West)'!$A$1:$A$210,0)+1,O$66)</f>
        <v>0</v>
      </c>
      <c r="V54" s="37">
        <v>44970</v>
      </c>
      <c r="X54" s="102"/>
    </row>
    <row r="55" spans="3:24" ht="19.5" thickBot="1">
      <c r="C55" s="156" t="str">
        <f>INDEX('Storage Tariffs (West)'!$A$1:$N$210,MATCH($C$51,'Storage Tariffs (West)'!$A$1:$A$210,0)+2,D$66-1)</f>
        <v>Thereafter</v>
      </c>
      <c r="D55" s="141">
        <f>INDEX('Storage Tariffs (West)'!$A$1:$N$210,MATCH($C$51,'Storage Tariffs (West)'!$A$1:$A$210,0)+2,D$66)</f>
        <v>9999999</v>
      </c>
      <c r="E55" s="126" t="str">
        <f>INDEX('Storage Tariffs (West)'!$A$1:$N$210,MATCH($C$51,'Storage Tariffs (West)'!$A$1:$A$210,0)+2,E$66)</f>
        <v>EUR</v>
      </c>
      <c r="F55" s="127">
        <f>INDEX('Storage Tariffs (West)'!$A$1:$N$210,MATCH($C$51,'Storage Tariffs (West)'!$A$1:$A$210,0)+2,F$66)</f>
        <v>57</v>
      </c>
      <c r="G55" s="141">
        <f>INDEX('Storage Tariffs (West)'!$A$1:$N$210,MATCH($C$51,'Storage Tariffs (West)'!$A$1:$A$210,0)+2,G$66)</f>
        <v>9999999</v>
      </c>
      <c r="H55" s="126" t="str">
        <f>INDEX('Storage Tariffs (West)'!$A$1:$N$210,MATCH($C$51,'Storage Tariffs (West)'!$A$1:$A$210,0)+2,H$66)</f>
        <v>EUR</v>
      </c>
      <c r="I55" s="127">
        <f>INDEX('Storage Tariffs (West)'!$A$1:$N$210,MATCH($C$51,'Storage Tariffs (West)'!$A$1:$A$210,0)+2,I$66)</f>
        <v>77</v>
      </c>
      <c r="J55" s="141">
        <f>INDEX('Storage Tariffs (West)'!$A$1:$N$210,MATCH($C$51,'Storage Tariffs (West)'!$A$1:$A$210,0)+2,J$66)</f>
        <v>9999999</v>
      </c>
      <c r="K55" s="126" t="str">
        <f>INDEX('Storage Tariffs (West)'!$A$1:$N$210,MATCH($C$51,'Storage Tariffs (West)'!$A$1:$A$210,0)+2,K$66)</f>
        <v>EUR</v>
      </c>
      <c r="L55" s="127">
        <f>INDEX('Storage Tariffs (West)'!$A$1:$N$210,MATCH($C$51,'Storage Tariffs (West)'!$A$1:$A$210,0)+2,L$66)</f>
        <v>155</v>
      </c>
      <c r="M55" s="141">
        <f>INDEX('Storage Tariffs (West)'!$A$1:$N$210,MATCH($C$51,'Storage Tariffs (West)'!$A$1:$A$210,0)+2,M$66)</f>
        <v>9999999</v>
      </c>
      <c r="N55" s="126" t="str">
        <f>INDEX('Storage Tariffs (West)'!$A$1:$N$210,MATCH($C$51,'Storage Tariffs (West)'!$A$1:$A$210,0)+2,N$66)</f>
        <v>EUR</v>
      </c>
      <c r="O55" s="127">
        <f>INDEX('Storage Tariffs (West)'!$A$1:$N$210,MATCH($C$51,'Storage Tariffs (West)'!$A$1:$A$210,0)+2,O$66)</f>
        <v>155</v>
      </c>
      <c r="V55" s="37">
        <v>44971</v>
      </c>
      <c r="X55" s="102"/>
    </row>
    <row r="56" spans="3:24" ht="1.5" customHeight="1">
      <c r="C56" s="154"/>
      <c r="D56" s="155"/>
      <c r="E56" s="155">
        <f>INDEX('Storage Tariffs (West)'!$A$1:$N$210,MATCH($C$51,'Storage Tariffs (West)'!$A$1:$A$210,0)+3,E$66)</f>
        <v>0</v>
      </c>
      <c r="F56" s="155">
        <f>INDEX('Storage Tariffs (West)'!$A$1:$N$210,MATCH($C$51,'Storage Tariffs (West)'!$A$1:$A$210,0)+3,F$66)</f>
        <v>0</v>
      </c>
      <c r="G56" s="155"/>
      <c r="H56" s="155">
        <f>INDEX('Storage Tariffs (West)'!$A$1:$N$210,MATCH($C$51,'Storage Tariffs (West)'!$A$1:$A$210,0)+3,H$66)</f>
        <v>0</v>
      </c>
      <c r="I56" s="155">
        <f>INDEX('Storage Tariffs (West)'!$A$1:$N$210,MATCH($C$51,'Storage Tariffs (West)'!$A$1:$A$210,0)+3,I$66)</f>
        <v>0</v>
      </c>
      <c r="J56" s="155">
        <f>INDEX('Storage Tariffs (West)'!$A$1:$N$210,MATCH($C$51,'Storage Tariffs (West)'!$A$1:$A$210,0)+3,J$66)</f>
        <v>2</v>
      </c>
      <c r="K56" s="155">
        <f>INDEX('Storage Tariffs (West)'!$A$1:$N$210,MATCH($C$51,'Storage Tariffs (West)'!$A$1:$A$210,0)+3,K$66)</f>
        <v>0</v>
      </c>
      <c r="L56" s="155">
        <f>INDEX('Storage Tariffs (West)'!$A$1:$N$210,MATCH($C$51,'Storage Tariffs (West)'!$A$1:$A$210,0)+3,L$66)</f>
        <v>0</v>
      </c>
      <c r="M56" s="155">
        <f>INDEX('Storage Tariffs (West)'!$A$1:$N$210,MATCH($C$51,'Storage Tariffs (West)'!$A$1:$A$210,0)+3,M$66)</f>
        <v>2</v>
      </c>
      <c r="N56" s="155">
        <f>INDEX('Storage Tariffs (West)'!$A$1:$N$210,MATCH($C$51,'Storage Tariffs (West)'!$A$1:$A$210,0)+3,N$66)</f>
        <v>0</v>
      </c>
      <c r="O56" s="155">
        <f>INDEX('Storage Tariffs (West)'!$A$1:$N$210,MATCH($C$51,'Storage Tariffs (West)'!$A$1:$A$210,0)+3,O$66)</f>
        <v>0</v>
      </c>
      <c r="V56" s="37">
        <v>44972</v>
      </c>
      <c r="X56" s="102"/>
    </row>
    <row r="57" spans="3:24" ht="19.5" thickBot="1">
      <c r="V57" s="37">
        <v>44973</v>
      </c>
      <c r="X57" s="102"/>
    </row>
    <row r="58" spans="3:24" ht="30.6" customHeight="1" thickBot="1">
      <c r="C58" s="157" t="str">
        <f>"Storage Costs for "&amp;CHAR(10) &amp; D8</f>
        <v>Storage Costs for 
&lt;make selection&gt;</v>
      </c>
      <c r="D58" s="129" t="s">
        <v>8</v>
      </c>
      <c r="E58" s="130" t="s">
        <v>8</v>
      </c>
      <c r="F58" s="131" t="s">
        <v>8</v>
      </c>
      <c r="G58" s="129" t="s">
        <v>55</v>
      </c>
      <c r="H58" s="130" t="s">
        <v>55</v>
      </c>
      <c r="I58" s="131" t="s">
        <v>55</v>
      </c>
      <c r="J58" s="129" t="s">
        <v>10</v>
      </c>
      <c r="K58" s="130" t="s">
        <v>10</v>
      </c>
      <c r="L58" s="131" t="s">
        <v>10</v>
      </c>
      <c r="M58" s="129" t="s">
        <v>57</v>
      </c>
      <c r="N58" s="130" t="s">
        <v>57</v>
      </c>
      <c r="O58" s="131" t="s">
        <v>57</v>
      </c>
      <c r="V58" s="37">
        <v>44974</v>
      </c>
      <c r="X58" s="102"/>
    </row>
    <row r="59" spans="3:24" ht="18.75">
      <c r="C59" s="132" t="s">
        <v>179</v>
      </c>
      <c r="D59" s="149" t="s">
        <v>2</v>
      </c>
      <c r="E59" s="128" t="s">
        <v>3</v>
      </c>
      <c r="F59" s="150" t="s">
        <v>4</v>
      </c>
      <c r="G59" s="138" t="s">
        <v>2</v>
      </c>
      <c r="H59" s="118" t="s">
        <v>3</v>
      </c>
      <c r="I59" s="122" t="s">
        <v>4</v>
      </c>
      <c r="J59" s="138" t="s">
        <v>2</v>
      </c>
      <c r="K59" s="118" t="s">
        <v>3</v>
      </c>
      <c r="L59" s="122" t="s">
        <v>4</v>
      </c>
      <c r="M59" s="135" t="s">
        <v>2</v>
      </c>
      <c r="N59" s="118" t="s">
        <v>3</v>
      </c>
      <c r="O59" s="122" t="s">
        <v>4</v>
      </c>
      <c r="V59" s="37">
        <v>44975</v>
      </c>
      <c r="X59" s="102"/>
    </row>
    <row r="60" spans="3:24" ht="18.75">
      <c r="C60" s="142" t="e">
        <f>IF((INDEX('Storage Tariffs (West)'!$A:$B,MATCH('DD Calculator Italy-West Hemis.'!$D$8,'Storage Tariffs (West)'!$A:$A,0),1)=$D$8),INDEX('Storage Tariffs (West)'!$A:$B,MATCH('DD Calculator Italy-West Hemis.'!$D$8,'Storage Tariffs (West)'!$A:$A,0),2),"")</f>
        <v>#N/A</v>
      </c>
      <c r="D60" s="151" t="e">
        <f>IF($C60=0,0,INDEX('Storage Tariffs (West)'!$A$1:$N$110,MATCH('DD Calculator Italy-West Hemis.'!$D$8,'Storage Tariffs (West)'!$A$1:$A$110,0)+0,D$66))</f>
        <v>#N/A</v>
      </c>
      <c r="E60" s="121" t="e">
        <f>IF($C60=0,0,INDEX('Storage Tariffs (West)'!$A$1:$N$110,MATCH('DD Calculator Italy-West Hemis.'!$D$8,'Storage Tariffs (West)'!$A$1:$A$110,0)+0,E$66))</f>
        <v>#N/A</v>
      </c>
      <c r="F60" s="124" t="e">
        <f>IF($C60=0,0,INDEX('Storage Tariffs (West)'!$A$1:$N$110,MATCH('DD Calculator Italy-West Hemis.'!$D$8,'Storage Tariffs (West)'!$A$1:$A$110,0)+0,F$66))</f>
        <v>#N/A</v>
      </c>
      <c r="G60" s="151" t="e">
        <f>IF($C60=0,0,INDEX('Storage Tariffs (West)'!$A$1:$N$110,MATCH('DD Calculator Italy-West Hemis.'!$D$8,'Storage Tariffs (West)'!$A$1:$A$110,0)+0,G$66))</f>
        <v>#N/A</v>
      </c>
      <c r="H60" s="121" t="e">
        <f>IF($C60=0,0,INDEX('Storage Tariffs (West)'!$A$1:$N$110,MATCH('DD Calculator Italy-West Hemis.'!$D$8,'Storage Tariffs (West)'!$A$1:$A$110,0)+0,H$66))</f>
        <v>#N/A</v>
      </c>
      <c r="I60" s="124" t="e">
        <f>IF($C60=0,0,INDEX('Storage Tariffs (West)'!$A$1:$N$110,MATCH('DD Calculator Italy-West Hemis.'!$D$8,'Storage Tariffs (West)'!$A$1:$A$110,0)+0,I$66))</f>
        <v>#N/A</v>
      </c>
      <c r="J60" s="151" t="e">
        <f>IF($C60=0,0,INDEX('Storage Tariffs (West)'!$A$1:$N$110,MATCH('DD Calculator Italy-West Hemis.'!$D$8,'Storage Tariffs (West)'!$A$1:$A$110,0)+0,J$66))</f>
        <v>#N/A</v>
      </c>
      <c r="K60" s="121" t="e">
        <f>IF($C60=0,0,INDEX('Storage Tariffs (West)'!$A$1:$N$110,MATCH('DD Calculator Italy-West Hemis.'!$D$8,'Storage Tariffs (West)'!$A$1:$A$110,0)+0,K$66))</f>
        <v>#N/A</v>
      </c>
      <c r="L60" s="124" t="e">
        <f>IF($C60=0,0,INDEX('Storage Tariffs (West)'!$A$1:$N$110,MATCH('DD Calculator Italy-West Hemis.'!$D$8,'Storage Tariffs (West)'!$A$1:$A$110,0)+0,L$66))</f>
        <v>#N/A</v>
      </c>
      <c r="M60" s="147" t="e">
        <f>IF($C60=0,0,INDEX('Storage Tariffs (West)'!$A$1:$N$110,MATCH('DD Calculator Italy-West Hemis.'!$D$8,'Storage Tariffs (West)'!$A$1:$A$110,0)+0,M$66))</f>
        <v>#N/A</v>
      </c>
      <c r="N60" s="121" t="e">
        <f>IF($C60=0,0,INDEX('Storage Tariffs (West)'!$A$1:$N$110,MATCH('DD Calculator Italy-West Hemis.'!$D$8,'Storage Tariffs (West)'!$A$1:$A$110,0)+0,N$66))</f>
        <v>#N/A</v>
      </c>
      <c r="O60" s="124" t="e">
        <f>IF($C60=0,0,INDEX('Storage Tariffs (West)'!$A$1:$N$110,MATCH('DD Calculator Italy-West Hemis.'!$D$8,'Storage Tariffs (West)'!$A$1:$A$110,0)+0,O$66))</f>
        <v>#N/A</v>
      </c>
      <c r="V60" s="37">
        <v>44976</v>
      </c>
      <c r="X60" s="102"/>
    </row>
    <row r="61" spans="3:24" ht="18.75">
      <c r="C61" s="143" t="e" cm="1">
        <f t="array" ref="C61">IF((INDEX('Storage Tariffs (West)'!$A:$B,MATCH('DD Calculator Italy-West Hemis.'!$D$8,'Storage Tariffs (West)'!$A:$A,0)+1,1)=$D$8),INDEX('Storage Tariffs (West)'!$A:$B,MATCH('DD Calculator Italy-West Hemis.'!$D$8,'Storage Tariffs (West)'!$A:$A,0)+1,2),"")</f>
        <v>#N/A</v>
      </c>
      <c r="D61" s="139" t="e">
        <f>IF($C61=0,0,INDEX('Storage Tariffs (West)'!$A$1:$N$110,MATCH('DD Calculator Italy-West Hemis.'!$D$8,'Storage Tariffs (West)'!$A$1:$A$110,0)+1,D$66))</f>
        <v>#N/A</v>
      </c>
      <c r="E61" s="120" t="e">
        <f>IF($C61=0,0,INDEX('Storage Tariffs (West)'!$A$1:$N$110,MATCH('DD Calculator Italy-West Hemis.'!$D$8,'Storage Tariffs (West)'!$A$1:$A$110,0)+1,E$66))</f>
        <v>#N/A</v>
      </c>
      <c r="F61" s="123" t="e">
        <f>IF($C61=0,0,INDEX('Storage Tariffs (West)'!$A$1:$N$110,MATCH('DD Calculator Italy-West Hemis.'!$D$8,'Storage Tariffs (West)'!$A$1:$A$110,0)+1,F$66))</f>
        <v>#N/A</v>
      </c>
      <c r="G61" s="139" t="e">
        <f>IF($C61=0,0,INDEX('Storage Tariffs (West)'!$A$1:$N$110,MATCH('DD Calculator Italy-West Hemis.'!$D$8,'Storage Tariffs (West)'!$A$1:$A$110,0)+1,G$66))</f>
        <v>#N/A</v>
      </c>
      <c r="H61" s="120" t="e">
        <f>IF($C61=0,0,INDEX('Storage Tariffs (West)'!$A$1:$N$110,MATCH('DD Calculator Italy-West Hemis.'!$D$8,'Storage Tariffs (West)'!$A$1:$A$110,0)+1,H$66))</f>
        <v>#N/A</v>
      </c>
      <c r="I61" s="123" t="e">
        <f>IF($C61=0,0,INDEX('Storage Tariffs (West)'!$A$1:$N$110,MATCH('DD Calculator Italy-West Hemis.'!$D$8,'Storage Tariffs (West)'!$A$1:$A$110,0)+1,I$66))</f>
        <v>#N/A</v>
      </c>
      <c r="J61" s="139" t="e">
        <f>IF($C61=0,0,INDEX('Storage Tariffs (West)'!$A$1:$N$110,MATCH('DD Calculator Italy-West Hemis.'!$D$8,'Storage Tariffs (West)'!$A$1:$A$110,0)+1,J$66))</f>
        <v>#N/A</v>
      </c>
      <c r="K61" s="120" t="e">
        <f>IF($C61=0,0,INDEX('Storage Tariffs (West)'!$A$1:$N$110,MATCH('DD Calculator Italy-West Hemis.'!$D$8,'Storage Tariffs (West)'!$A$1:$A$110,0)+1,K$66))</f>
        <v>#N/A</v>
      </c>
      <c r="L61" s="123" t="e">
        <f>IF($C61=0,0,INDEX('Storage Tariffs (West)'!$A$1:$N$110,MATCH('DD Calculator Italy-West Hemis.'!$D$8,'Storage Tariffs (West)'!$A$1:$A$110,0)+1,L$66))</f>
        <v>#N/A</v>
      </c>
      <c r="M61" s="136" t="e">
        <f>IF($C61=0,0,INDEX('Storage Tariffs (West)'!$A$1:$N$110,MATCH('DD Calculator Italy-West Hemis.'!$D$8,'Storage Tariffs (West)'!$A$1:$A$110,0)+1,M$66))</f>
        <v>#N/A</v>
      </c>
      <c r="N61" s="120" t="e">
        <f>IF($C61=0,0,INDEX('Storage Tariffs (West)'!$A$1:$N$110,MATCH('DD Calculator Italy-West Hemis.'!$D$8,'Storage Tariffs (West)'!$A$1:$A$110,0)+1,N$66))</f>
        <v>#N/A</v>
      </c>
      <c r="O61" s="123" t="e">
        <f>IF($C61=0,0,INDEX('Storage Tariffs (West)'!$A$1:$N$110,MATCH('DD Calculator Italy-West Hemis.'!$D$8,'Storage Tariffs (West)'!$A$1:$A$110,0)+1,O$66))</f>
        <v>#N/A</v>
      </c>
      <c r="V61" s="37">
        <v>44977</v>
      </c>
      <c r="X61" s="102"/>
    </row>
    <row r="62" spans="3:24" ht="18.75">
      <c r="C62" s="144" t="e" cm="1">
        <f t="array" ref="C62">IF((INDEX('Storage Tariffs (West)'!$A:$B,MATCH('DD Calculator Italy-West Hemis.'!$D$8,'Storage Tariffs (West)'!$A:$A,0)+2,1)=$D$8),INDEX('Storage Tariffs (West)'!$A:$B,MATCH('DD Calculator Italy-West Hemis.'!$D$8,'Storage Tariffs (West)'!$A:$A,0)+2,2),0)</f>
        <v>#N/A</v>
      </c>
      <c r="D62" s="140" t="e">
        <f>IF($C62=0,0,INDEX('Storage Tariffs (West)'!$A$1:$N$110,MATCH('DD Calculator Italy-West Hemis.'!$D$8,'Storage Tariffs (West)'!$A$1:$A$110,0)+2,D$66))</f>
        <v>#N/A</v>
      </c>
      <c r="E62" s="119" t="e">
        <f>IF($C62=0,0,INDEX('Storage Tariffs (West)'!$A$1:$N$110,MATCH('DD Calculator Italy-West Hemis.'!$D$8,'Storage Tariffs (West)'!$A$1:$A$110,0)+2,E$66))</f>
        <v>#N/A</v>
      </c>
      <c r="F62" s="125" t="e">
        <f>IF($C62=0,0,INDEX('Storage Tariffs (West)'!$A$1:$N$110,MATCH('DD Calculator Italy-West Hemis.'!$D$8,'Storage Tariffs (West)'!$A$1:$A$110,0)+2,F$66))</f>
        <v>#N/A</v>
      </c>
      <c r="G62" s="140" t="e">
        <f>IF($C62=0,0,INDEX('Storage Tariffs (West)'!$A$1:$N$110,MATCH('DD Calculator Italy-West Hemis.'!$D$8,'Storage Tariffs (West)'!$A$1:$A$110,0)+2,G$66))</f>
        <v>#N/A</v>
      </c>
      <c r="H62" s="119" t="e">
        <f>IF($C62=0,0,INDEX('Storage Tariffs (West)'!$A$1:$N$110,MATCH('DD Calculator Italy-West Hemis.'!$D$8,'Storage Tariffs (West)'!$A$1:$A$110,0)+2,H$66))</f>
        <v>#N/A</v>
      </c>
      <c r="I62" s="125" t="e">
        <f>IF($C62=0,0,INDEX('Storage Tariffs (West)'!$A$1:$N$110,MATCH('DD Calculator Italy-West Hemis.'!$D$8,'Storage Tariffs (West)'!$A$1:$A$110,0)+2,I$66))</f>
        <v>#N/A</v>
      </c>
      <c r="J62" s="140" t="e">
        <f>IF($C62=0,0,INDEX('Storage Tariffs (West)'!$A$1:$N$110,MATCH('DD Calculator Italy-West Hemis.'!$D$8,'Storage Tariffs (West)'!$A$1:$A$110,0)+2,J$66))</f>
        <v>#N/A</v>
      </c>
      <c r="K62" s="119" t="e">
        <f>IF($C62=0,0,INDEX('Storage Tariffs (West)'!$A$1:$N$110,MATCH('DD Calculator Italy-West Hemis.'!$D$8,'Storage Tariffs (West)'!$A$1:$A$110,0)+2,K$66))</f>
        <v>#N/A</v>
      </c>
      <c r="L62" s="125" t="e">
        <f>IF($C62=0,0,INDEX('Storage Tariffs (West)'!$A$1:$N$110,MATCH('DD Calculator Italy-West Hemis.'!$D$8,'Storage Tariffs (West)'!$A$1:$A$110,0)+2,L$66))</f>
        <v>#N/A</v>
      </c>
      <c r="M62" s="137" t="e">
        <f>IF($C62=0,0,INDEX('Storage Tariffs (West)'!$A$1:$N$110,MATCH('DD Calculator Italy-West Hemis.'!$D$8,'Storage Tariffs (West)'!$A$1:$A$110,0)+2,M$66))</f>
        <v>#N/A</v>
      </c>
      <c r="N62" s="119" t="e">
        <f>IF($C62=0,0,INDEX('Storage Tariffs (West)'!$A$1:$N$110,MATCH('DD Calculator Italy-West Hemis.'!$D$8,'Storage Tariffs (West)'!$A$1:$A$110,0)+2,N$66))</f>
        <v>#N/A</v>
      </c>
      <c r="O62" s="125" t="e">
        <f>IF($C62=0,0,INDEX('Storage Tariffs (West)'!$A$1:$N$110,MATCH('DD Calculator Italy-West Hemis.'!$D$8,'Storage Tariffs (West)'!$A$1:$A$110,0)+2,O$66))</f>
        <v>#N/A</v>
      </c>
      <c r="V62" s="37">
        <v>44978</v>
      </c>
      <c r="X62" s="102"/>
    </row>
    <row r="63" spans="3:24" ht="18.75">
      <c r="C63" s="143" t="e" cm="1">
        <f t="array" ref="C63">IF((INDEX('Storage Tariffs (West)'!$A:$B,MATCH('DD Calculator Italy-West Hemis.'!$D$8,'Storage Tariffs (West)'!$A:$A,0)+3,1)=$D$8),INDEX('Storage Tariffs (West)'!$A:$B,MATCH('DD Calculator Italy-West Hemis.'!$D$8,'Storage Tariffs (West)'!$A:$A,0)+3,2),0)</f>
        <v>#N/A</v>
      </c>
      <c r="D63" s="139" t="e">
        <f>IF($C63=0,0,INDEX('Storage Tariffs (West)'!$A$1:$N$110,MATCH('DD Calculator Italy-West Hemis.'!$D$8,'Storage Tariffs (West)'!$A$1:$A$110,0)+3,D$66))</f>
        <v>#N/A</v>
      </c>
      <c r="E63" s="120" t="e">
        <f>IF($C63=0,0,INDEX('Storage Tariffs (West)'!$A$1:$N$110,MATCH('DD Calculator Italy-West Hemis.'!$D$8,'Storage Tariffs (West)'!$A$1:$A$110,0)+3,E$66))</f>
        <v>#N/A</v>
      </c>
      <c r="F63" s="123" t="e">
        <f>IF($C63=0,0,INDEX('Storage Tariffs (West)'!$A$1:$N$110,MATCH('DD Calculator Italy-West Hemis.'!$D$8,'Storage Tariffs (West)'!$A$1:$A$110,0)+3,F$66))</f>
        <v>#N/A</v>
      </c>
      <c r="G63" s="139" t="e">
        <f>IF($C63=0,0,INDEX('Storage Tariffs (West)'!$A$1:$N$110,MATCH('DD Calculator Italy-West Hemis.'!$D$8,'Storage Tariffs (West)'!$A$1:$A$110,0)+3,G$66))</f>
        <v>#N/A</v>
      </c>
      <c r="H63" s="120" t="e">
        <f>IF($C63=0,0,INDEX('Storage Tariffs (West)'!$A$1:$N$110,MATCH('DD Calculator Italy-West Hemis.'!$D$8,'Storage Tariffs (West)'!$A$1:$A$110,0)+3,H$66))</f>
        <v>#N/A</v>
      </c>
      <c r="I63" s="123" t="e">
        <f>IF($C63=0,0,INDEX('Storage Tariffs (West)'!$A$1:$N$110,MATCH('DD Calculator Italy-West Hemis.'!$D$8,'Storage Tariffs (West)'!$A$1:$A$110,0)+3,I$66))</f>
        <v>#N/A</v>
      </c>
      <c r="J63" s="139" t="e">
        <f>IF($C63=0,0,INDEX('Storage Tariffs (West)'!$A$1:$N$110,MATCH('DD Calculator Italy-West Hemis.'!$D$8,'Storage Tariffs (West)'!$A$1:$A$110,0)+3,J$66))</f>
        <v>#N/A</v>
      </c>
      <c r="K63" s="120" t="e">
        <f>IF($C63=0,0,INDEX('Storage Tariffs (West)'!$A$1:$N$110,MATCH('DD Calculator Italy-West Hemis.'!$D$8,'Storage Tariffs (West)'!$A$1:$A$110,0)+3,K$66))</f>
        <v>#N/A</v>
      </c>
      <c r="L63" s="123" t="e">
        <f>IF($C63=0,0,INDEX('Storage Tariffs (West)'!$A$1:$N$110,MATCH('DD Calculator Italy-West Hemis.'!$D$8,'Storage Tariffs (West)'!$A$1:$A$110,0)+3,L$66))</f>
        <v>#N/A</v>
      </c>
      <c r="M63" s="136" t="e">
        <f>IF($C63=0,0,INDEX('Storage Tariffs (West)'!$A$1:$N$110,MATCH('DD Calculator Italy-West Hemis.'!$D$8,'Storage Tariffs (West)'!$A$1:$A$110,0)+3,M$66))</f>
        <v>#N/A</v>
      </c>
      <c r="N63" s="120" t="e">
        <f>IF($C63=0,0,INDEX('Storage Tariffs (West)'!$A$1:$N$110,MATCH('DD Calculator Italy-West Hemis.'!$D$8,'Storage Tariffs (West)'!$A$1:$A$110,0)+3,N$66))</f>
        <v>#N/A</v>
      </c>
      <c r="O63" s="123" t="e">
        <f>IF($C63=0,0,INDEX('Storage Tariffs (West)'!$A$1:$N$110,MATCH('DD Calculator Italy-West Hemis.'!$D$8,'Storage Tariffs (West)'!$A$1:$A$110,0)+3,O$66))</f>
        <v>#N/A</v>
      </c>
      <c r="V63" s="37">
        <v>44979</v>
      </c>
      <c r="X63" s="102"/>
    </row>
    <row r="64" spans="3:24" ht="18.75">
      <c r="C64" s="145" t="e" cm="1">
        <f t="array" ref="C64">IF((INDEX('Storage Tariffs (West)'!$A:$B,MATCH('DD Calculator Italy-West Hemis.'!$D$8,'Storage Tariffs (West)'!$A:$A,0)+4,1)=$D$8),INDEX('Storage Tariffs (West)'!$A:$B,MATCH('DD Calculator Italy-West Hemis.'!$D$8,'Storage Tariffs (West)'!$A:$A,0)+4,2),0)</f>
        <v>#N/A</v>
      </c>
      <c r="D64" s="139" t="e">
        <f>IF($C64=0,0,INDEX('Storage Tariffs (West)'!$A$1:$N$110,MATCH('DD Calculator Italy-West Hemis.'!$D$8,'Storage Tariffs (West)'!$A$1:$A$110,0)+4,D$66))</f>
        <v>#N/A</v>
      </c>
      <c r="E64" s="120" t="e">
        <f>IF($C64=0,0,INDEX('Storage Tariffs (West)'!$A$1:$N$110,MATCH('DD Calculator Italy-West Hemis.'!$D$8,'Storage Tariffs (West)'!$A$1:$A$110,0)+4,E$66))</f>
        <v>#N/A</v>
      </c>
      <c r="F64" s="123" t="e">
        <f>IF($C64=0,0,INDEX('Storage Tariffs (West)'!$A$1:$N$110,MATCH('DD Calculator Italy-West Hemis.'!$D$8,'Storage Tariffs (West)'!$A$1:$A$110,0)+4,F$66))</f>
        <v>#N/A</v>
      </c>
      <c r="G64" s="139" t="e">
        <f>IF($C64=0,0,INDEX('Storage Tariffs (West)'!$A$1:$N$110,MATCH('DD Calculator Italy-West Hemis.'!$D$8,'Storage Tariffs (West)'!$A$1:$A$110,0)+4,G$66))</f>
        <v>#N/A</v>
      </c>
      <c r="H64" s="120" t="e">
        <f>IF($C64=0,0,INDEX('Storage Tariffs (West)'!$A$1:$N$110,MATCH('DD Calculator Italy-West Hemis.'!$D$8,'Storage Tariffs (West)'!$A$1:$A$110,0)+4,H$66))</f>
        <v>#N/A</v>
      </c>
      <c r="I64" s="123" t="e">
        <f>IF($C64=0,0,INDEX('Storage Tariffs (West)'!$A$1:$N$110,MATCH('DD Calculator Italy-West Hemis.'!$D$8,'Storage Tariffs (West)'!$A$1:$A$110,0)+4,I$66))</f>
        <v>#N/A</v>
      </c>
      <c r="J64" s="139" t="e">
        <f>IF($C64=0,0,INDEX('Storage Tariffs (West)'!$A$1:$N$110,MATCH('DD Calculator Italy-West Hemis.'!$D$8,'Storage Tariffs (West)'!$A$1:$A$110,0)+4,J$66))</f>
        <v>#N/A</v>
      </c>
      <c r="K64" s="120" t="e">
        <f>IF($C64=0,0,INDEX('Storage Tariffs (West)'!$A$1:$N$110,MATCH('DD Calculator Italy-West Hemis.'!$D$8,'Storage Tariffs (West)'!$A$1:$A$110,0)+4,K$66))</f>
        <v>#N/A</v>
      </c>
      <c r="L64" s="123" t="e">
        <f>IF($C64=0,0,INDEX('Storage Tariffs (West)'!$A$1:$N$110,MATCH('DD Calculator Italy-West Hemis.'!$D$8,'Storage Tariffs (West)'!$A$1:$A$110,0)+4,L$66))</f>
        <v>#N/A</v>
      </c>
      <c r="M64" s="136" t="e">
        <f>IF($C64=0,0,INDEX('Storage Tariffs (West)'!$A$1:$N$110,MATCH('DD Calculator Italy-West Hemis.'!$D$8,'Storage Tariffs (West)'!$A$1:$A$110,0)+4,M$66))</f>
        <v>#N/A</v>
      </c>
      <c r="N64" s="120" t="e">
        <f>IF($C64=0,0,INDEX('Storage Tariffs (West)'!$A$1:$N$110,MATCH('DD Calculator Italy-West Hemis.'!$D$8,'Storage Tariffs (West)'!$A$1:$A$110,0)+4,N$66))</f>
        <v>#N/A</v>
      </c>
      <c r="O64" s="123" t="e">
        <f>IF($C64=0,0,INDEX('Storage Tariffs (West)'!$A$1:$N$110,MATCH('DD Calculator Italy-West Hemis.'!$D$8,'Storage Tariffs (West)'!$A$1:$A$110,0)+4,O$66))</f>
        <v>#N/A</v>
      </c>
      <c r="V64" s="37">
        <v>44980</v>
      </c>
      <c r="X64" s="102"/>
    </row>
    <row r="65" spans="3:24" ht="19.5" thickBot="1">
      <c r="C65" s="146" t="e" cm="1">
        <f t="array" ref="C65">IF((INDEX('Storage Tariffs (West)'!$A:$B,MATCH('DD Calculator Italy-West Hemis.'!$D$8,'Storage Tariffs (West)'!$A:$A,0)+5,1)=$D$8),INDEX('Storage Tariffs (West)'!$A:$B,MATCH('DD Calculator Italy-West Hemis.'!$D$8,'Storage Tariffs (West)'!$A:$A,0)+5,2),0)</f>
        <v>#N/A</v>
      </c>
      <c r="D65" s="141" t="e">
        <f>IF($C65=0,0,INDEX('Storage Tariffs (West)'!$A$1:$N$110,MATCH('DD Calculator Italy-West Hemis.'!$D$8,'Storage Tariffs (West)'!$A$1:$A$110,0)+5,D$66))</f>
        <v>#N/A</v>
      </c>
      <c r="E65" s="126" t="e">
        <f>IF($C65=0,0,INDEX('Storage Tariffs (West)'!$A$1:$N$110,MATCH('DD Calculator Italy-West Hemis.'!$D$8,'Storage Tariffs (West)'!$A$1:$A$110,0)+5,E$66))</f>
        <v>#N/A</v>
      </c>
      <c r="F65" s="127" t="e">
        <f>IF($C65=0,0,INDEX('Storage Tariffs (West)'!$A$1:$N$110,MATCH('DD Calculator Italy-West Hemis.'!$D$8,'Storage Tariffs (West)'!$A$1:$A$110,0)+5,F$66))</f>
        <v>#N/A</v>
      </c>
      <c r="G65" s="141" t="e">
        <f>IF($C65=0,0,INDEX('Storage Tariffs (West)'!$A$1:$N$110,MATCH('DD Calculator Italy-West Hemis.'!$D$8,'Storage Tariffs (West)'!$A$1:$A$110,0)+5,G$66))</f>
        <v>#N/A</v>
      </c>
      <c r="H65" s="126" t="e">
        <f>IF($C65=0,0,INDEX('Storage Tariffs (West)'!$A$1:$N$110,MATCH('DD Calculator Italy-West Hemis.'!$D$8,'Storage Tariffs (West)'!$A$1:$A$110,0)+5,H$66))</f>
        <v>#N/A</v>
      </c>
      <c r="I65" s="127" t="e">
        <f>IF($C65=0,0,INDEX('Storage Tariffs (West)'!$A$1:$N$110,MATCH('DD Calculator Italy-West Hemis.'!$D$8,'Storage Tariffs (West)'!$A$1:$A$110,0)+5,I$66))</f>
        <v>#N/A</v>
      </c>
      <c r="J65" s="141" t="e">
        <f>IF($C65=0,0,INDEX('Storage Tariffs (West)'!$A$1:$N$110,MATCH('DD Calculator Italy-West Hemis.'!$D$8,'Storage Tariffs (West)'!$A$1:$A$110,0)+5,J$66))</f>
        <v>#N/A</v>
      </c>
      <c r="K65" s="126" t="e">
        <f>IF($C65=0,0,INDEX('Storage Tariffs (West)'!$A$1:$N$110,MATCH('DD Calculator Italy-West Hemis.'!$D$8,'Storage Tariffs (West)'!$A$1:$A$110,0)+5,K$66))</f>
        <v>#N/A</v>
      </c>
      <c r="L65" s="127" t="e">
        <f>IF($C65=0,0,INDEX('Storage Tariffs (West)'!$A$1:$N$110,MATCH('DD Calculator Italy-West Hemis.'!$D$8,'Storage Tariffs (West)'!$A$1:$A$110,0)+5,L$66))</f>
        <v>#N/A</v>
      </c>
      <c r="M65" s="148" t="e">
        <f>IF($C65=0,0,INDEX('Storage Tariffs (West)'!$A$1:$N$110,MATCH('DD Calculator Italy-West Hemis.'!$D$8,'Storage Tariffs (West)'!$A$1:$A$110,0)+5,M$66))</f>
        <v>#N/A</v>
      </c>
      <c r="N65" s="126" t="e">
        <f>IF($C65=0,0,INDEX('Storage Tariffs (West)'!$A$1:$N$110,MATCH('DD Calculator Italy-West Hemis.'!$D$8,'Storage Tariffs (West)'!$A$1:$A$110,0)+5,N$66))</f>
        <v>#N/A</v>
      </c>
      <c r="O65" s="127" t="e">
        <f>IF($C65=0,0,INDEX('Storage Tariffs (West)'!$A$1:$N$110,MATCH('DD Calculator Italy-West Hemis.'!$D$8,'Storage Tariffs (West)'!$A$1:$A$110,0)+5,O$66))</f>
        <v>#N/A</v>
      </c>
      <c r="V65" s="37">
        <v>44981</v>
      </c>
      <c r="X65" s="102"/>
    </row>
    <row r="66" spans="3:24" ht="19.5" thickBot="1">
      <c r="D66" s="103">
        <v>3</v>
      </c>
      <c r="E66" s="103">
        <v>4</v>
      </c>
      <c r="F66" s="103">
        <v>5</v>
      </c>
      <c r="G66" s="103">
        <v>6</v>
      </c>
      <c r="H66" s="103">
        <v>7</v>
      </c>
      <c r="I66" s="103">
        <v>8</v>
      </c>
      <c r="J66" s="103">
        <v>9</v>
      </c>
      <c r="K66" s="103">
        <v>10</v>
      </c>
      <c r="L66" s="103">
        <v>11</v>
      </c>
      <c r="M66" s="103">
        <v>12</v>
      </c>
      <c r="N66" s="103">
        <v>13</v>
      </c>
      <c r="O66" s="103">
        <v>14</v>
      </c>
      <c r="V66" s="37">
        <v>44982</v>
      </c>
      <c r="X66" s="102"/>
    </row>
    <row r="67" spans="3:24" ht="26.45" customHeight="1" thickBot="1">
      <c r="C67" s="157" t="s">
        <v>48</v>
      </c>
      <c r="D67" s="129" t="s">
        <v>8</v>
      </c>
      <c r="E67" s="130" t="s">
        <v>8</v>
      </c>
      <c r="F67" s="131" t="s">
        <v>8</v>
      </c>
      <c r="G67" s="129" t="s">
        <v>55</v>
      </c>
      <c r="H67" s="130" t="s">
        <v>55</v>
      </c>
      <c r="I67" s="131" t="s">
        <v>55</v>
      </c>
      <c r="J67" s="129" t="s">
        <v>10</v>
      </c>
      <c r="K67" s="130" t="s">
        <v>10</v>
      </c>
      <c r="L67" s="131" t="s">
        <v>10</v>
      </c>
      <c r="M67" s="129" t="s">
        <v>57</v>
      </c>
      <c r="N67" s="130" t="s">
        <v>57</v>
      </c>
      <c r="O67" s="131" t="s">
        <v>57</v>
      </c>
      <c r="V67" s="37">
        <v>44983</v>
      </c>
      <c r="X67" s="102"/>
    </row>
    <row r="68" spans="3:24" ht="18.75">
      <c r="C68" s="132" t="s">
        <v>179</v>
      </c>
      <c r="D68" s="138" t="s">
        <v>2</v>
      </c>
      <c r="E68" s="118" t="s">
        <v>3</v>
      </c>
      <c r="F68" s="122" t="s">
        <v>4</v>
      </c>
      <c r="G68" s="135" t="s">
        <v>2</v>
      </c>
      <c r="H68" s="118" t="s">
        <v>3</v>
      </c>
      <c r="I68" s="152" t="s">
        <v>4</v>
      </c>
      <c r="J68" s="138" t="s">
        <v>2</v>
      </c>
      <c r="K68" s="118" t="s">
        <v>3</v>
      </c>
      <c r="L68" s="122" t="s">
        <v>4</v>
      </c>
      <c r="M68" s="135" t="s">
        <v>2</v>
      </c>
      <c r="N68" s="118" t="s">
        <v>3</v>
      </c>
      <c r="O68" s="122" t="s">
        <v>4</v>
      </c>
      <c r="V68" s="37">
        <v>44984</v>
      </c>
      <c r="X68" s="102"/>
    </row>
    <row r="69" spans="3:24" ht="18.75">
      <c r="C69" s="133" t="s">
        <v>1</v>
      </c>
      <c r="D69" s="139">
        <f>INDEX('Storage Tariffs (West)'!$A$1:$N$210,MATCH($C$67,'Storage Tariffs (West)'!$A$1:$A$210,0),D$66)</f>
        <v>3</v>
      </c>
      <c r="E69" s="120" t="str">
        <f>INDEX('Storage Tariffs (West)'!$A$1:$N$210,MATCH($C$67,'Storage Tariffs (West)'!$A$1:$A$210,0),E$66)</f>
        <v/>
      </c>
      <c r="F69" s="123">
        <f>INDEX('Storage Tariffs (West)'!$A$1:$N$210,MATCH($C$67,'Storage Tariffs (West)'!$A$1:$A$210,0),F$66)</f>
        <v>0</v>
      </c>
      <c r="G69" s="136">
        <f>INDEX('Storage Tariffs (West)'!$A$1:$N$210,MATCH($C$67,'Storage Tariffs (West)'!$A$1:$A$210,0),G$66)</f>
        <v>3</v>
      </c>
      <c r="H69" s="120" t="str">
        <f>INDEX('Storage Tariffs (West)'!$A$1:$N$210,MATCH($C$67,'Storage Tariffs (West)'!$A$1:$A$210,0),H$66)</f>
        <v/>
      </c>
      <c r="I69" s="153">
        <f>INDEX('Storage Tariffs (West)'!$A$1:$N$210,MATCH($C$67,'Storage Tariffs (West)'!$A$1:$A$210,0),I$66)</f>
        <v>0</v>
      </c>
      <c r="J69" s="139">
        <f>INDEX('Storage Tariffs (West)'!$A$1:$N$210,MATCH($C$67,'Storage Tariffs (West)'!$A$1:$A$210,0),J$66)</f>
        <v>3</v>
      </c>
      <c r="K69" s="120" t="str">
        <f>INDEX('Storage Tariffs (West)'!$A$1:$N$210,MATCH($C$67,'Storage Tariffs (West)'!$A$1:$A$210,0),K$66)</f>
        <v/>
      </c>
      <c r="L69" s="123">
        <f>INDEX('Storage Tariffs (West)'!$A$1:$N$210,MATCH($C$67,'Storage Tariffs (West)'!$A$1:$A$210,0),L$66)</f>
        <v>0</v>
      </c>
      <c r="M69" s="136">
        <f>INDEX('Storage Tariffs (West)'!$A$1:$N$210,MATCH($C$67,'Storage Tariffs (West)'!$A$1:$A$210,0),M$66)</f>
        <v>3</v>
      </c>
      <c r="N69" s="120" t="str">
        <f>INDEX('Storage Tariffs (West)'!$A$1:$N$210,MATCH($C$67,'Storage Tariffs (West)'!$A$1:$A$210,0),N$66)</f>
        <v/>
      </c>
      <c r="O69" s="123">
        <f>INDEX('Storage Tariffs (West)'!$A$1:$N$210,MATCH($C$67,'Storage Tariffs (West)'!$A$1:$A$210,0),O$66)</f>
        <v>0</v>
      </c>
      <c r="V69" s="37">
        <v>44985</v>
      </c>
      <c r="X69" s="102"/>
    </row>
    <row r="70" spans="3:24" ht="19.5" thickBot="1">
      <c r="C70" s="182" t="str" cm="1">
        <f t="array" ref="C70">IF((INDEX('Storage Tariffs (West)'!$A:$B,MATCH($C$67,'Storage Tariffs (West)'!$A:$A,0)+1,1)=$C$67),INDEX('Storage Tariffs (West)'!$A:$B,MATCH($C$67,'Storage Tariffs (West)'!$A:$A,0)+1,2),0)</f>
        <v>Thereafter</v>
      </c>
      <c r="D70" s="183">
        <f>INDEX('Storage Tariffs (West)'!$A$1:$N$210,MATCH($C$67,'Storage Tariffs (West)'!$A$1:$A$210,0)+1,D$66)</f>
        <v>9999999</v>
      </c>
      <c r="E70" s="184" t="str">
        <f>INDEX('Storage Tariffs (West)'!$A$1:$N$210,MATCH($C$67,'Storage Tariffs (West)'!$A$1:$A$210,0)+1,E$66)</f>
        <v>EUR</v>
      </c>
      <c r="F70" s="185">
        <f>INDEX('Storage Tariffs (West)'!$A$1:$N$210,MATCH($C$67,'Storage Tariffs (West)'!$A$1:$A$210,0)+1,F$66)</f>
        <v>57</v>
      </c>
      <c r="G70" s="186">
        <f>INDEX('Storage Tariffs (West)'!$A$1:$N$210,MATCH($C$67,'Storage Tariffs (West)'!$A$1:$A$210,0)+1,G$66)</f>
        <v>9999999</v>
      </c>
      <c r="H70" s="184" t="str">
        <f>INDEX('Storage Tariffs (West)'!$A$1:$N$210,MATCH($C$67,'Storage Tariffs (West)'!$A$1:$A$210,0)+1,H$66)</f>
        <v>EUR</v>
      </c>
      <c r="I70" s="187">
        <f>INDEX('Storage Tariffs (West)'!$A$1:$N$210,MATCH($C$67,'Storage Tariffs (West)'!$A$1:$A$210,0)+1,I$66)</f>
        <v>77</v>
      </c>
      <c r="J70" s="183">
        <f>INDEX('Storage Tariffs (West)'!$A$1:$N$210,MATCH($C$67,'Storage Tariffs (West)'!$A$1:$A$210,0)+1,J$66)</f>
        <v>9999999</v>
      </c>
      <c r="K70" s="184" t="str">
        <f>INDEX('Storage Tariffs (West)'!$A$1:$N$210,MATCH($C$67,'Storage Tariffs (West)'!$A$1:$A$210,0)+1,K$66)</f>
        <v>EUR</v>
      </c>
      <c r="L70" s="185">
        <f>INDEX('Storage Tariffs (West)'!$A$1:$N$210,MATCH($C$67,'Storage Tariffs (West)'!$A$1:$A$210,0)+1,L$66)</f>
        <v>155</v>
      </c>
      <c r="M70" s="186">
        <f>INDEX('Storage Tariffs (West)'!$A$1:$N$210,MATCH($C$67,'Storage Tariffs (West)'!$A$1:$A$210,0)+1,M$66)</f>
        <v>9999999</v>
      </c>
      <c r="N70" s="184" t="str">
        <f>INDEX('Storage Tariffs (West)'!$A$1:$N$210,MATCH($C$67,'Storage Tariffs (West)'!$A$1:$A$210,0)+1,N$66)</f>
        <v>EUR</v>
      </c>
      <c r="O70" s="185">
        <f>INDEX('Storage Tariffs (West)'!$A$1:$N$210,MATCH($C$67,'Storage Tariffs (West)'!$A$1:$A$210,0)+1,O$66)</f>
        <v>155</v>
      </c>
      <c r="V70" s="37">
        <v>44986</v>
      </c>
      <c r="X70" s="102"/>
    </row>
    <row r="71" spans="3:24" ht="19.5" thickBot="1">
      <c r="D71" s="103"/>
      <c r="E71" s="103"/>
      <c r="F71" s="103"/>
      <c r="G71" s="103"/>
      <c r="H71" s="103"/>
      <c r="I71" s="103"/>
      <c r="J71" s="103"/>
      <c r="K71" s="103"/>
      <c r="L71" s="103"/>
      <c r="M71" s="103"/>
      <c r="N71" s="103"/>
      <c r="O71" s="103"/>
      <c r="V71" s="37">
        <v>44987</v>
      </c>
      <c r="X71" s="102"/>
    </row>
    <row r="72" spans="3:24" ht="14.45" customHeight="1">
      <c r="C72" s="558" t="s">
        <v>221</v>
      </c>
      <c r="D72" s="559"/>
      <c r="E72" s="559"/>
      <c r="F72" s="559"/>
      <c r="G72" s="559"/>
      <c r="H72" s="559"/>
      <c r="I72" s="559"/>
      <c r="J72" s="559"/>
      <c r="K72" s="559"/>
      <c r="L72" s="559"/>
      <c r="M72" s="559"/>
      <c r="N72" s="559"/>
      <c r="O72" s="560"/>
      <c r="P72" s="104"/>
      <c r="Q72" s="104"/>
      <c r="R72" s="104"/>
      <c r="V72" s="37">
        <v>44988</v>
      </c>
      <c r="X72" s="102"/>
    </row>
    <row r="73" spans="3:24" ht="14.45" customHeight="1">
      <c r="C73" s="561"/>
      <c r="D73" s="562"/>
      <c r="E73" s="562"/>
      <c r="F73" s="562"/>
      <c r="G73" s="562"/>
      <c r="H73" s="562"/>
      <c r="I73" s="562"/>
      <c r="J73" s="562"/>
      <c r="K73" s="562"/>
      <c r="L73" s="562"/>
      <c r="M73" s="562"/>
      <c r="N73" s="562"/>
      <c r="O73" s="563"/>
      <c r="P73" s="104"/>
      <c r="Q73" s="104"/>
      <c r="R73" s="104"/>
      <c r="V73" s="37">
        <v>44989</v>
      </c>
      <c r="X73" s="102"/>
    </row>
    <row r="74" spans="3:24" ht="14.45" customHeight="1">
      <c r="C74" s="561"/>
      <c r="D74" s="562"/>
      <c r="E74" s="562"/>
      <c r="F74" s="562"/>
      <c r="G74" s="562"/>
      <c r="H74" s="562"/>
      <c r="I74" s="562"/>
      <c r="J74" s="562"/>
      <c r="K74" s="562"/>
      <c r="L74" s="562"/>
      <c r="M74" s="562"/>
      <c r="N74" s="562"/>
      <c r="O74" s="563"/>
      <c r="P74" s="104"/>
      <c r="Q74" s="104"/>
      <c r="R74" s="104"/>
      <c r="V74" s="37">
        <v>44990</v>
      </c>
      <c r="X74" s="102"/>
    </row>
    <row r="75" spans="3:24" ht="14.45" customHeight="1">
      <c r="C75" s="561"/>
      <c r="D75" s="562"/>
      <c r="E75" s="562"/>
      <c r="F75" s="562"/>
      <c r="G75" s="562"/>
      <c r="H75" s="562"/>
      <c r="I75" s="562"/>
      <c r="J75" s="562"/>
      <c r="K75" s="562"/>
      <c r="L75" s="562"/>
      <c r="M75" s="562"/>
      <c r="N75" s="562"/>
      <c r="O75" s="563"/>
      <c r="P75" s="104"/>
      <c r="Q75" s="104"/>
      <c r="R75" s="104"/>
      <c r="V75" s="37">
        <v>44991</v>
      </c>
      <c r="X75" s="102"/>
    </row>
    <row r="76" spans="3:24" ht="14.45" customHeight="1">
      <c r="C76" s="561"/>
      <c r="D76" s="562"/>
      <c r="E76" s="562"/>
      <c r="F76" s="562"/>
      <c r="G76" s="562"/>
      <c r="H76" s="562"/>
      <c r="I76" s="562"/>
      <c r="J76" s="562"/>
      <c r="K76" s="562"/>
      <c r="L76" s="562"/>
      <c r="M76" s="562"/>
      <c r="N76" s="562"/>
      <c r="O76" s="563"/>
      <c r="P76" s="104"/>
      <c r="Q76" s="104"/>
      <c r="R76" s="104"/>
      <c r="V76" s="37">
        <v>44992</v>
      </c>
      <c r="X76" s="102"/>
    </row>
    <row r="77" spans="3:24" ht="14.45" customHeight="1">
      <c r="C77" s="561"/>
      <c r="D77" s="562"/>
      <c r="E77" s="562"/>
      <c r="F77" s="562"/>
      <c r="G77" s="562"/>
      <c r="H77" s="562"/>
      <c r="I77" s="562"/>
      <c r="J77" s="562"/>
      <c r="K77" s="562"/>
      <c r="L77" s="562"/>
      <c r="M77" s="562"/>
      <c r="N77" s="562"/>
      <c r="O77" s="563"/>
      <c r="P77" s="104"/>
      <c r="Q77" s="104"/>
      <c r="R77" s="104"/>
      <c r="V77" s="37">
        <v>44993</v>
      </c>
      <c r="X77" s="102"/>
    </row>
    <row r="78" spans="3:24" ht="14.45" customHeight="1">
      <c r="C78" s="561"/>
      <c r="D78" s="562"/>
      <c r="E78" s="562"/>
      <c r="F78" s="562"/>
      <c r="G78" s="562"/>
      <c r="H78" s="562"/>
      <c r="I78" s="562"/>
      <c r="J78" s="562"/>
      <c r="K78" s="562"/>
      <c r="L78" s="562"/>
      <c r="M78" s="562"/>
      <c r="N78" s="562"/>
      <c r="O78" s="563"/>
      <c r="P78" s="104"/>
      <c r="Q78" s="104"/>
      <c r="R78" s="104"/>
      <c r="V78" s="37">
        <v>44994</v>
      </c>
      <c r="X78" s="102"/>
    </row>
    <row r="79" spans="3:24" ht="14.45" customHeight="1">
      <c r="C79" s="561"/>
      <c r="D79" s="562"/>
      <c r="E79" s="562"/>
      <c r="F79" s="562"/>
      <c r="G79" s="562"/>
      <c r="H79" s="562"/>
      <c r="I79" s="562"/>
      <c r="J79" s="562"/>
      <c r="K79" s="562"/>
      <c r="L79" s="562"/>
      <c r="M79" s="562"/>
      <c r="N79" s="562"/>
      <c r="O79" s="563"/>
      <c r="P79" s="104"/>
      <c r="Q79" s="104"/>
      <c r="R79" s="104"/>
      <c r="V79" s="37">
        <v>44995</v>
      </c>
      <c r="X79" s="102"/>
    </row>
    <row r="80" spans="3:24" ht="14.45" customHeight="1">
      <c r="C80" s="561"/>
      <c r="D80" s="562"/>
      <c r="E80" s="562"/>
      <c r="F80" s="562"/>
      <c r="G80" s="562"/>
      <c r="H80" s="562"/>
      <c r="I80" s="562"/>
      <c r="J80" s="562"/>
      <c r="K80" s="562"/>
      <c r="L80" s="562"/>
      <c r="M80" s="562"/>
      <c r="N80" s="562"/>
      <c r="O80" s="563"/>
      <c r="P80" s="104"/>
      <c r="Q80" s="104"/>
      <c r="R80" s="104"/>
      <c r="V80" s="37">
        <v>44996</v>
      </c>
      <c r="X80" s="102"/>
    </row>
    <row r="81" spans="3:22" ht="14.45" customHeight="1">
      <c r="C81" s="561"/>
      <c r="D81" s="562"/>
      <c r="E81" s="562"/>
      <c r="F81" s="562"/>
      <c r="G81" s="562"/>
      <c r="H81" s="562"/>
      <c r="I81" s="562"/>
      <c r="J81" s="562"/>
      <c r="K81" s="562"/>
      <c r="L81" s="562"/>
      <c r="M81" s="562"/>
      <c r="N81" s="562"/>
      <c r="O81" s="563"/>
      <c r="P81" s="104"/>
      <c r="Q81" s="104"/>
      <c r="R81" s="104"/>
      <c r="V81" s="37">
        <v>44997</v>
      </c>
    </row>
    <row r="82" spans="3:22" ht="14.45" customHeight="1">
      <c r="C82" s="561"/>
      <c r="D82" s="562"/>
      <c r="E82" s="562"/>
      <c r="F82" s="562"/>
      <c r="G82" s="562"/>
      <c r="H82" s="562"/>
      <c r="I82" s="562"/>
      <c r="J82" s="562"/>
      <c r="K82" s="562"/>
      <c r="L82" s="562"/>
      <c r="M82" s="562"/>
      <c r="N82" s="562"/>
      <c r="O82" s="563"/>
      <c r="P82" s="104"/>
      <c r="Q82" s="104"/>
      <c r="R82" s="104"/>
      <c r="V82" s="37">
        <v>44998</v>
      </c>
    </row>
    <row r="83" spans="3:22" ht="14.45" customHeight="1">
      <c r="C83" s="561"/>
      <c r="D83" s="562"/>
      <c r="E83" s="562"/>
      <c r="F83" s="562"/>
      <c r="G83" s="562"/>
      <c r="H83" s="562"/>
      <c r="I83" s="562"/>
      <c r="J83" s="562"/>
      <c r="K83" s="562"/>
      <c r="L83" s="562"/>
      <c r="M83" s="562"/>
      <c r="N83" s="562"/>
      <c r="O83" s="563"/>
      <c r="P83" s="104"/>
      <c r="Q83" s="104"/>
      <c r="R83" s="104"/>
      <c r="V83" s="37">
        <v>44999</v>
      </c>
    </row>
    <row r="84" spans="3:22" ht="14.45" customHeight="1">
      <c r="C84" s="561"/>
      <c r="D84" s="562"/>
      <c r="E84" s="562"/>
      <c r="F84" s="562"/>
      <c r="G84" s="562"/>
      <c r="H84" s="562"/>
      <c r="I84" s="562"/>
      <c r="J84" s="562"/>
      <c r="K84" s="562"/>
      <c r="L84" s="562"/>
      <c r="M84" s="562"/>
      <c r="N84" s="562"/>
      <c r="O84" s="563"/>
      <c r="P84" s="104"/>
      <c r="Q84" s="104"/>
      <c r="R84" s="104"/>
      <c r="V84" s="37">
        <v>45000</v>
      </c>
    </row>
    <row r="85" spans="3:22" ht="14.45" customHeight="1">
      <c r="C85" s="561"/>
      <c r="D85" s="562"/>
      <c r="E85" s="562"/>
      <c r="F85" s="562"/>
      <c r="G85" s="562"/>
      <c r="H85" s="562"/>
      <c r="I85" s="562"/>
      <c r="J85" s="562"/>
      <c r="K85" s="562"/>
      <c r="L85" s="562"/>
      <c r="M85" s="562"/>
      <c r="N85" s="562"/>
      <c r="O85" s="563"/>
      <c r="P85" s="104"/>
      <c r="Q85" s="104"/>
      <c r="R85" s="104"/>
      <c r="V85" s="37">
        <v>45001</v>
      </c>
    </row>
    <row r="86" spans="3:22" ht="14.45" customHeight="1">
      <c r="C86" s="561"/>
      <c r="D86" s="562"/>
      <c r="E86" s="562"/>
      <c r="F86" s="562"/>
      <c r="G86" s="562"/>
      <c r="H86" s="562"/>
      <c r="I86" s="562"/>
      <c r="J86" s="562"/>
      <c r="K86" s="562"/>
      <c r="L86" s="562"/>
      <c r="M86" s="562"/>
      <c r="N86" s="562"/>
      <c r="O86" s="563"/>
      <c r="P86" s="104"/>
      <c r="Q86" s="104"/>
      <c r="R86" s="104"/>
      <c r="V86" s="37">
        <v>45002</v>
      </c>
    </row>
    <row r="87" spans="3:22" ht="14.45" customHeight="1" thickBot="1">
      <c r="C87" s="564"/>
      <c r="D87" s="565"/>
      <c r="E87" s="565"/>
      <c r="F87" s="565"/>
      <c r="G87" s="565"/>
      <c r="H87" s="565"/>
      <c r="I87" s="565"/>
      <c r="J87" s="565"/>
      <c r="K87" s="565"/>
      <c r="L87" s="565"/>
      <c r="M87" s="565"/>
      <c r="N87" s="565"/>
      <c r="O87" s="566"/>
      <c r="P87" s="104"/>
      <c r="Q87" s="104"/>
      <c r="R87" s="104"/>
      <c r="V87" s="37">
        <v>45003</v>
      </c>
    </row>
    <row r="88" spans="3:22" ht="14.45" customHeight="1">
      <c r="D88" s="104"/>
      <c r="E88" s="104"/>
      <c r="F88" s="104"/>
      <c r="G88" s="104"/>
      <c r="H88" s="104"/>
      <c r="I88" s="104"/>
      <c r="J88" s="104"/>
      <c r="K88" s="104"/>
      <c r="L88" s="104"/>
      <c r="M88" s="104"/>
      <c r="N88" s="104"/>
      <c r="O88" s="104"/>
      <c r="P88" s="104"/>
      <c r="Q88" s="104"/>
      <c r="R88" s="104"/>
      <c r="V88" s="37">
        <v>45004</v>
      </c>
    </row>
    <row r="89" spans="3:22" ht="14.45" customHeight="1">
      <c r="D89" s="104"/>
      <c r="E89" s="104"/>
      <c r="F89" s="104"/>
      <c r="G89" s="104"/>
      <c r="H89" s="104"/>
      <c r="I89" s="104"/>
      <c r="J89" s="104"/>
      <c r="K89" s="104"/>
      <c r="L89" s="104"/>
      <c r="M89" s="104"/>
      <c r="N89" s="104"/>
      <c r="O89" s="104"/>
      <c r="P89" s="104"/>
      <c r="Q89" s="104"/>
      <c r="R89" s="104"/>
      <c r="V89" s="37">
        <v>45005</v>
      </c>
    </row>
    <row r="90" spans="3:22" ht="14.45" customHeight="1">
      <c r="D90" s="104"/>
      <c r="E90" s="104"/>
      <c r="F90" s="104"/>
      <c r="G90" s="104"/>
      <c r="H90" s="104"/>
      <c r="I90" s="104"/>
      <c r="J90" s="104"/>
      <c r="K90" s="104"/>
      <c r="L90" s="104"/>
      <c r="M90" s="104"/>
      <c r="N90" s="104"/>
      <c r="O90" s="104"/>
      <c r="P90" s="104"/>
      <c r="Q90" s="104"/>
      <c r="R90" s="104"/>
      <c r="V90" s="37">
        <v>45006</v>
      </c>
    </row>
    <row r="91" spans="3:22" ht="14.45" customHeight="1">
      <c r="D91" s="104"/>
      <c r="E91" s="104"/>
      <c r="F91" s="104"/>
      <c r="G91" s="104"/>
      <c r="H91" s="104"/>
      <c r="I91" s="104"/>
      <c r="J91" s="104"/>
      <c r="K91" s="104"/>
      <c r="L91" s="104"/>
      <c r="M91" s="104"/>
      <c r="N91" s="104"/>
      <c r="O91" s="104"/>
      <c r="P91" s="104"/>
      <c r="Q91" s="104"/>
      <c r="R91" s="104"/>
      <c r="V91" s="37">
        <v>45007</v>
      </c>
    </row>
    <row r="92" spans="3:22" ht="14.45" customHeight="1">
      <c r="D92" s="104"/>
      <c r="E92" s="104"/>
      <c r="F92" s="104"/>
      <c r="G92" s="104"/>
      <c r="H92" s="104"/>
      <c r="I92" s="104"/>
      <c r="J92" s="104"/>
      <c r="K92" s="104"/>
      <c r="L92" s="104"/>
      <c r="M92" s="104"/>
      <c r="N92" s="104"/>
      <c r="O92" s="104"/>
      <c r="P92" s="104"/>
      <c r="Q92" s="104"/>
      <c r="R92" s="104"/>
      <c r="V92" s="37">
        <v>45008</v>
      </c>
    </row>
    <row r="93" spans="3:22" ht="14.45" customHeight="1">
      <c r="D93" s="104"/>
      <c r="E93" s="104"/>
      <c r="F93" s="104"/>
      <c r="G93" s="104"/>
      <c r="H93" s="104"/>
      <c r="I93" s="104"/>
      <c r="J93" s="104"/>
      <c r="K93" s="104"/>
      <c r="L93" s="104"/>
      <c r="M93" s="104"/>
      <c r="N93" s="104"/>
      <c r="O93" s="104"/>
      <c r="P93" s="104"/>
      <c r="Q93" s="104"/>
      <c r="R93" s="104"/>
      <c r="V93" s="37">
        <v>45009</v>
      </c>
    </row>
    <row r="94" spans="3:22">
      <c r="V94" s="37">
        <v>45010</v>
      </c>
    </row>
    <row r="95" spans="3:22">
      <c r="V95" s="37">
        <v>45011</v>
      </c>
    </row>
    <row r="96" spans="3:22">
      <c r="V96" s="37">
        <v>45012</v>
      </c>
    </row>
    <row r="97" spans="22:22">
      <c r="V97" s="37">
        <v>45013</v>
      </c>
    </row>
    <row r="98" spans="22:22">
      <c r="V98" s="37">
        <v>45014</v>
      </c>
    </row>
    <row r="99" spans="22:22">
      <c r="V99" s="37">
        <v>45015</v>
      </c>
    </row>
    <row r="100" spans="22:22">
      <c r="V100" s="37">
        <v>45016</v>
      </c>
    </row>
    <row r="101" spans="22:22">
      <c r="V101" s="37">
        <v>45017</v>
      </c>
    </row>
    <row r="102" spans="22:22">
      <c r="V102" s="37">
        <v>45018</v>
      </c>
    </row>
    <row r="103" spans="22:22">
      <c r="V103" s="37">
        <v>45019</v>
      </c>
    </row>
    <row r="104" spans="22:22">
      <c r="V104" s="37">
        <v>45020</v>
      </c>
    </row>
    <row r="105" spans="22:22">
      <c r="V105" s="37">
        <v>45021</v>
      </c>
    </row>
    <row r="106" spans="22:22">
      <c r="V106" s="37">
        <v>45022</v>
      </c>
    </row>
    <row r="107" spans="22:22">
      <c r="V107" s="37">
        <v>45023</v>
      </c>
    </row>
    <row r="108" spans="22:22">
      <c r="V108" s="37">
        <v>45024</v>
      </c>
    </row>
    <row r="109" spans="22:22">
      <c r="V109" s="37">
        <v>45025</v>
      </c>
    </row>
    <row r="110" spans="22:22">
      <c r="V110" s="37">
        <v>45026</v>
      </c>
    </row>
    <row r="111" spans="22:22">
      <c r="V111" s="37">
        <v>45027</v>
      </c>
    </row>
    <row r="112" spans="22:22">
      <c r="V112" s="37">
        <v>45028</v>
      </c>
    </row>
    <row r="113" spans="22:22">
      <c r="V113" s="37">
        <v>45029</v>
      </c>
    </row>
    <row r="114" spans="22:22">
      <c r="V114" s="37">
        <v>45030</v>
      </c>
    </row>
    <row r="115" spans="22:22">
      <c r="V115" s="37">
        <v>45031</v>
      </c>
    </row>
    <row r="116" spans="22:22">
      <c r="V116" s="37">
        <v>45032</v>
      </c>
    </row>
    <row r="117" spans="22:22">
      <c r="V117" s="37">
        <v>45033</v>
      </c>
    </row>
    <row r="118" spans="22:22">
      <c r="V118" s="37">
        <v>45034</v>
      </c>
    </row>
    <row r="119" spans="22:22">
      <c r="V119" s="37">
        <v>45035</v>
      </c>
    </row>
    <row r="120" spans="22:22">
      <c r="V120" s="37">
        <v>45036</v>
      </c>
    </row>
    <row r="121" spans="22:22">
      <c r="V121" s="37">
        <v>45037</v>
      </c>
    </row>
    <row r="122" spans="22:22">
      <c r="V122" s="37">
        <v>45038</v>
      </c>
    </row>
    <row r="123" spans="22:22">
      <c r="V123" s="37">
        <v>45039</v>
      </c>
    </row>
    <row r="124" spans="22:22">
      <c r="V124" s="37">
        <v>45040</v>
      </c>
    </row>
    <row r="125" spans="22:22">
      <c r="V125" s="37">
        <v>45041</v>
      </c>
    </row>
    <row r="126" spans="22:22">
      <c r="V126" s="37">
        <v>45042</v>
      </c>
    </row>
    <row r="127" spans="22:22">
      <c r="V127" s="37">
        <v>45043</v>
      </c>
    </row>
    <row r="128" spans="22:22">
      <c r="V128" s="37">
        <v>45044</v>
      </c>
    </row>
    <row r="129" spans="22:22">
      <c r="V129" s="37">
        <v>45045</v>
      </c>
    </row>
    <row r="130" spans="22:22">
      <c r="V130" s="37">
        <v>45046</v>
      </c>
    </row>
    <row r="131" spans="22:22">
      <c r="V131" s="37">
        <v>45047</v>
      </c>
    </row>
    <row r="132" spans="22:22">
      <c r="V132" s="37">
        <v>45048</v>
      </c>
    </row>
    <row r="133" spans="22:22">
      <c r="V133" s="37">
        <v>45049</v>
      </c>
    </row>
    <row r="134" spans="22:22">
      <c r="V134" s="37">
        <v>45050</v>
      </c>
    </row>
    <row r="135" spans="22:22">
      <c r="V135" s="37">
        <v>45051</v>
      </c>
    </row>
    <row r="136" spans="22:22">
      <c r="V136" s="37">
        <v>45052</v>
      </c>
    </row>
    <row r="137" spans="22:22">
      <c r="V137" s="37">
        <v>45053</v>
      </c>
    </row>
    <row r="138" spans="22:22">
      <c r="V138" s="37">
        <v>45054</v>
      </c>
    </row>
    <row r="139" spans="22:22">
      <c r="V139" s="37">
        <v>45055</v>
      </c>
    </row>
    <row r="140" spans="22:22">
      <c r="V140" s="37">
        <v>45056</v>
      </c>
    </row>
    <row r="141" spans="22:22">
      <c r="V141" s="37">
        <v>45057</v>
      </c>
    </row>
    <row r="142" spans="22:22">
      <c r="V142" s="37">
        <v>45058</v>
      </c>
    </row>
    <row r="143" spans="22:22">
      <c r="V143" s="37">
        <v>45059</v>
      </c>
    </row>
    <row r="144" spans="22:22">
      <c r="V144" s="37">
        <v>45060</v>
      </c>
    </row>
    <row r="145" spans="22:22">
      <c r="V145" s="37">
        <v>45061</v>
      </c>
    </row>
    <row r="146" spans="22:22">
      <c r="V146" s="37">
        <v>45062</v>
      </c>
    </row>
    <row r="147" spans="22:22">
      <c r="V147" s="37">
        <v>45063</v>
      </c>
    </row>
    <row r="148" spans="22:22">
      <c r="V148" s="37">
        <v>45064</v>
      </c>
    </row>
    <row r="149" spans="22:22">
      <c r="V149" s="37">
        <v>45065</v>
      </c>
    </row>
    <row r="150" spans="22:22">
      <c r="V150" s="37">
        <v>45066</v>
      </c>
    </row>
    <row r="151" spans="22:22">
      <c r="V151" s="37">
        <v>45067</v>
      </c>
    </row>
    <row r="152" spans="22:22">
      <c r="V152" s="37">
        <v>45068</v>
      </c>
    </row>
    <row r="153" spans="22:22">
      <c r="V153" s="37">
        <v>45069</v>
      </c>
    </row>
    <row r="154" spans="22:22">
      <c r="V154" s="37">
        <v>45070</v>
      </c>
    </row>
    <row r="155" spans="22:22">
      <c r="V155" s="37">
        <v>45071</v>
      </c>
    </row>
    <row r="156" spans="22:22">
      <c r="V156" s="37">
        <v>45072</v>
      </c>
    </row>
    <row r="157" spans="22:22">
      <c r="V157" s="37">
        <v>45073</v>
      </c>
    </row>
    <row r="158" spans="22:22">
      <c r="V158" s="37">
        <v>45074</v>
      </c>
    </row>
    <row r="159" spans="22:22">
      <c r="V159" s="37">
        <v>45075</v>
      </c>
    </row>
    <row r="160" spans="22:22">
      <c r="V160" s="37">
        <v>45076</v>
      </c>
    </row>
    <row r="161" spans="22:22">
      <c r="V161" s="37">
        <v>45077</v>
      </c>
    </row>
    <row r="162" spans="22:22">
      <c r="V162" s="37">
        <v>45078</v>
      </c>
    </row>
    <row r="163" spans="22:22">
      <c r="V163" s="37">
        <v>45079</v>
      </c>
    </row>
    <row r="164" spans="22:22">
      <c r="V164" s="37">
        <v>45080</v>
      </c>
    </row>
    <row r="165" spans="22:22">
      <c r="V165" s="37">
        <v>45081</v>
      </c>
    </row>
    <row r="166" spans="22:22">
      <c r="V166" s="37">
        <v>45082</v>
      </c>
    </row>
    <row r="167" spans="22:22">
      <c r="V167" s="37">
        <v>45083</v>
      </c>
    </row>
    <row r="168" spans="22:22">
      <c r="V168" s="37">
        <v>45084</v>
      </c>
    </row>
    <row r="169" spans="22:22">
      <c r="V169" s="37">
        <v>45085</v>
      </c>
    </row>
    <row r="170" spans="22:22">
      <c r="V170" s="37">
        <v>45086</v>
      </c>
    </row>
    <row r="171" spans="22:22">
      <c r="V171" s="37">
        <v>45087</v>
      </c>
    </row>
    <row r="172" spans="22:22">
      <c r="V172" s="37">
        <v>45088</v>
      </c>
    </row>
    <row r="173" spans="22:22">
      <c r="V173" s="37">
        <v>45089</v>
      </c>
    </row>
    <row r="174" spans="22:22">
      <c r="V174" s="37">
        <v>45090</v>
      </c>
    </row>
    <row r="175" spans="22:22">
      <c r="V175" s="37">
        <v>45091</v>
      </c>
    </row>
    <row r="176" spans="22:22">
      <c r="V176" s="37">
        <v>45092</v>
      </c>
    </row>
    <row r="177" spans="22:22">
      <c r="V177" s="37">
        <v>45093</v>
      </c>
    </row>
    <row r="178" spans="22:22">
      <c r="V178" s="37">
        <v>45094</v>
      </c>
    </row>
    <row r="179" spans="22:22">
      <c r="V179" s="37">
        <v>45095</v>
      </c>
    </row>
    <row r="180" spans="22:22">
      <c r="V180" s="37">
        <v>45096</v>
      </c>
    </row>
    <row r="181" spans="22:22">
      <c r="V181" s="37">
        <v>45097</v>
      </c>
    </row>
    <row r="182" spans="22:22">
      <c r="V182" s="37">
        <v>45098</v>
      </c>
    </row>
    <row r="183" spans="22:22">
      <c r="V183" s="37">
        <v>45099</v>
      </c>
    </row>
    <row r="184" spans="22:22">
      <c r="V184" s="37">
        <v>45100</v>
      </c>
    </row>
    <row r="185" spans="22:22">
      <c r="V185" s="37">
        <v>45101</v>
      </c>
    </row>
    <row r="186" spans="22:22">
      <c r="V186" s="37">
        <v>45102</v>
      </c>
    </row>
    <row r="187" spans="22:22">
      <c r="V187" s="37">
        <v>45103</v>
      </c>
    </row>
    <row r="188" spans="22:22">
      <c r="V188" s="37">
        <v>45104</v>
      </c>
    </row>
    <row r="189" spans="22:22">
      <c r="V189" s="37">
        <v>45105</v>
      </c>
    </row>
    <row r="190" spans="22:22">
      <c r="V190" s="37">
        <v>45106</v>
      </c>
    </row>
    <row r="191" spans="22:22">
      <c r="V191" s="37">
        <v>45107</v>
      </c>
    </row>
    <row r="192" spans="22:22">
      <c r="V192" s="37">
        <v>45108</v>
      </c>
    </row>
    <row r="193" spans="22:22">
      <c r="V193" s="37">
        <v>45109</v>
      </c>
    </row>
    <row r="194" spans="22:22">
      <c r="V194" s="37">
        <v>45110</v>
      </c>
    </row>
    <row r="195" spans="22:22">
      <c r="V195" s="37">
        <v>45111</v>
      </c>
    </row>
    <row r="196" spans="22:22">
      <c r="V196" s="37">
        <v>45112</v>
      </c>
    </row>
    <row r="197" spans="22:22">
      <c r="V197" s="37">
        <v>45113</v>
      </c>
    </row>
    <row r="198" spans="22:22">
      <c r="V198" s="37">
        <v>45114</v>
      </c>
    </row>
    <row r="199" spans="22:22">
      <c r="V199" s="37">
        <v>45115</v>
      </c>
    </row>
    <row r="200" spans="22:22">
      <c r="V200" s="37">
        <v>45116</v>
      </c>
    </row>
    <row r="201" spans="22:22">
      <c r="V201" s="37">
        <v>45117</v>
      </c>
    </row>
    <row r="202" spans="22:22">
      <c r="V202" s="37">
        <v>45118</v>
      </c>
    </row>
    <row r="203" spans="22:22">
      <c r="V203" s="37">
        <v>45119</v>
      </c>
    </row>
    <row r="204" spans="22:22">
      <c r="V204" s="37">
        <v>45120</v>
      </c>
    </row>
    <row r="205" spans="22:22">
      <c r="V205" s="37">
        <v>45121</v>
      </c>
    </row>
    <row r="206" spans="22:22">
      <c r="V206" s="37">
        <v>45122</v>
      </c>
    </row>
    <row r="207" spans="22:22">
      <c r="V207" s="37">
        <v>45123</v>
      </c>
    </row>
    <row r="208" spans="22:22">
      <c r="V208" s="37">
        <v>45124</v>
      </c>
    </row>
    <row r="209" spans="22:22">
      <c r="V209" s="37">
        <v>45125</v>
      </c>
    </row>
    <row r="210" spans="22:22">
      <c r="V210" s="37">
        <v>45126</v>
      </c>
    </row>
    <row r="211" spans="22:22">
      <c r="V211" s="37">
        <v>45127</v>
      </c>
    </row>
    <row r="212" spans="22:22">
      <c r="V212" s="37">
        <v>45128</v>
      </c>
    </row>
    <row r="213" spans="22:22">
      <c r="V213" s="37">
        <v>45129</v>
      </c>
    </row>
    <row r="214" spans="22:22">
      <c r="V214" s="37">
        <v>45130</v>
      </c>
    </row>
    <row r="215" spans="22:22">
      <c r="V215" s="37">
        <v>45131</v>
      </c>
    </row>
    <row r="216" spans="22:22">
      <c r="V216" s="37">
        <v>45132</v>
      </c>
    </row>
    <row r="217" spans="22:22">
      <c r="V217" s="37">
        <v>45133</v>
      </c>
    </row>
    <row r="218" spans="22:22">
      <c r="V218" s="37">
        <v>45134</v>
      </c>
    </row>
    <row r="219" spans="22:22">
      <c r="V219" s="37">
        <v>45135</v>
      </c>
    </row>
    <row r="220" spans="22:22">
      <c r="V220" s="37">
        <v>45136</v>
      </c>
    </row>
    <row r="221" spans="22:22">
      <c r="V221" s="37">
        <v>45137</v>
      </c>
    </row>
    <row r="222" spans="22:22">
      <c r="V222" s="37">
        <v>45138</v>
      </c>
    </row>
    <row r="223" spans="22:22">
      <c r="V223" s="37">
        <v>45139</v>
      </c>
    </row>
    <row r="224" spans="22:22">
      <c r="V224" s="37">
        <v>45140</v>
      </c>
    </row>
    <row r="225" spans="22:22">
      <c r="V225" s="37">
        <v>45141</v>
      </c>
    </row>
    <row r="226" spans="22:22">
      <c r="V226" s="37">
        <v>45142</v>
      </c>
    </row>
    <row r="227" spans="22:22">
      <c r="V227" s="37">
        <v>45143</v>
      </c>
    </row>
    <row r="228" spans="22:22">
      <c r="V228" s="37">
        <v>45144</v>
      </c>
    </row>
    <row r="229" spans="22:22">
      <c r="V229" s="37">
        <v>45145</v>
      </c>
    </row>
    <row r="230" spans="22:22">
      <c r="V230" s="37">
        <v>45146</v>
      </c>
    </row>
    <row r="231" spans="22:22">
      <c r="V231" s="37">
        <v>45147</v>
      </c>
    </row>
    <row r="232" spans="22:22">
      <c r="V232" s="37">
        <v>45148</v>
      </c>
    </row>
    <row r="233" spans="22:22">
      <c r="V233" s="37">
        <v>45149</v>
      </c>
    </row>
    <row r="234" spans="22:22">
      <c r="V234" s="37">
        <v>45150</v>
      </c>
    </row>
    <row r="235" spans="22:22">
      <c r="V235" s="37">
        <v>45151</v>
      </c>
    </row>
    <row r="236" spans="22:22">
      <c r="V236" s="37">
        <v>45152</v>
      </c>
    </row>
    <row r="237" spans="22:22">
      <c r="V237" s="37">
        <v>45153</v>
      </c>
    </row>
    <row r="238" spans="22:22">
      <c r="V238" s="37">
        <v>45154</v>
      </c>
    </row>
    <row r="239" spans="22:22">
      <c r="V239" s="37">
        <v>45155</v>
      </c>
    </row>
    <row r="240" spans="22:22">
      <c r="V240" s="37">
        <v>45156</v>
      </c>
    </row>
    <row r="241" spans="22:22">
      <c r="V241" s="37">
        <v>45157</v>
      </c>
    </row>
    <row r="242" spans="22:22">
      <c r="V242" s="37">
        <v>45158</v>
      </c>
    </row>
    <row r="243" spans="22:22">
      <c r="V243" s="37">
        <v>45159</v>
      </c>
    </row>
    <row r="244" spans="22:22">
      <c r="V244" s="37">
        <v>45160</v>
      </c>
    </row>
    <row r="245" spans="22:22">
      <c r="V245" s="37">
        <v>45161</v>
      </c>
    </row>
    <row r="246" spans="22:22">
      <c r="V246" s="37">
        <v>45162</v>
      </c>
    </row>
    <row r="247" spans="22:22">
      <c r="V247" s="37">
        <v>45163</v>
      </c>
    </row>
    <row r="248" spans="22:22">
      <c r="V248" s="37">
        <v>45164</v>
      </c>
    </row>
    <row r="249" spans="22:22">
      <c r="V249" s="37">
        <v>45165</v>
      </c>
    </row>
    <row r="250" spans="22:22">
      <c r="V250" s="37">
        <v>45166</v>
      </c>
    </row>
    <row r="251" spans="22:22">
      <c r="V251" s="37">
        <v>45167</v>
      </c>
    </row>
    <row r="252" spans="22:22">
      <c r="V252" s="37">
        <v>45168</v>
      </c>
    </row>
    <row r="253" spans="22:22">
      <c r="V253" s="37">
        <v>45169</v>
      </c>
    </row>
    <row r="254" spans="22:22">
      <c r="V254" s="37">
        <v>45170</v>
      </c>
    </row>
    <row r="255" spans="22:22">
      <c r="V255" s="37">
        <v>45171</v>
      </c>
    </row>
    <row r="256" spans="22:22">
      <c r="V256" s="37">
        <v>45172</v>
      </c>
    </row>
    <row r="257" spans="22:22">
      <c r="V257" s="37">
        <v>45173</v>
      </c>
    </row>
    <row r="258" spans="22:22">
      <c r="V258" s="37">
        <v>45174</v>
      </c>
    </row>
    <row r="259" spans="22:22">
      <c r="V259" s="37">
        <v>45175</v>
      </c>
    </row>
    <row r="260" spans="22:22">
      <c r="V260" s="37">
        <v>45176</v>
      </c>
    </row>
    <row r="261" spans="22:22">
      <c r="V261" s="37">
        <v>45177</v>
      </c>
    </row>
    <row r="262" spans="22:22">
      <c r="V262" s="37">
        <v>45178</v>
      </c>
    </row>
    <row r="263" spans="22:22">
      <c r="V263" s="37">
        <v>45179</v>
      </c>
    </row>
    <row r="264" spans="22:22">
      <c r="V264" s="37">
        <v>45180</v>
      </c>
    </row>
    <row r="265" spans="22:22">
      <c r="V265" s="37">
        <v>45181</v>
      </c>
    </row>
    <row r="266" spans="22:22">
      <c r="V266" s="37">
        <v>45182</v>
      </c>
    </row>
    <row r="267" spans="22:22">
      <c r="V267" s="37">
        <v>45183</v>
      </c>
    </row>
    <row r="268" spans="22:22">
      <c r="V268" s="37">
        <v>45184</v>
      </c>
    </row>
    <row r="269" spans="22:22">
      <c r="V269" s="37">
        <v>45185</v>
      </c>
    </row>
    <row r="270" spans="22:22">
      <c r="V270" s="37">
        <v>45186</v>
      </c>
    </row>
    <row r="271" spans="22:22">
      <c r="V271" s="37">
        <v>45187</v>
      </c>
    </row>
    <row r="272" spans="22:22">
      <c r="V272" s="37">
        <v>45188</v>
      </c>
    </row>
    <row r="273" spans="22:22">
      <c r="V273" s="37">
        <v>45189</v>
      </c>
    </row>
    <row r="274" spans="22:22">
      <c r="V274" s="37">
        <v>45190</v>
      </c>
    </row>
    <row r="275" spans="22:22">
      <c r="V275" s="37">
        <v>45191</v>
      </c>
    </row>
    <row r="276" spans="22:22">
      <c r="V276" s="37">
        <v>45192</v>
      </c>
    </row>
    <row r="277" spans="22:22">
      <c r="V277" s="37">
        <v>45193</v>
      </c>
    </row>
    <row r="278" spans="22:22">
      <c r="V278" s="37">
        <v>45194</v>
      </c>
    </row>
    <row r="279" spans="22:22">
      <c r="V279" s="37">
        <v>45195</v>
      </c>
    </row>
    <row r="280" spans="22:22">
      <c r="V280" s="37">
        <v>45196</v>
      </c>
    </row>
    <row r="281" spans="22:22">
      <c r="V281" s="37">
        <v>45197</v>
      </c>
    </row>
    <row r="282" spans="22:22">
      <c r="V282" s="37">
        <v>45198</v>
      </c>
    </row>
    <row r="283" spans="22:22">
      <c r="V283" s="37">
        <v>45199</v>
      </c>
    </row>
    <row r="284" spans="22:22">
      <c r="V284" s="37">
        <v>45200</v>
      </c>
    </row>
    <row r="285" spans="22:22">
      <c r="V285" s="37">
        <v>45201</v>
      </c>
    </row>
    <row r="286" spans="22:22">
      <c r="V286" s="37">
        <v>45202</v>
      </c>
    </row>
    <row r="287" spans="22:22">
      <c r="V287" s="37">
        <v>45203</v>
      </c>
    </row>
    <row r="288" spans="22:22">
      <c r="V288" s="37">
        <v>45204</v>
      </c>
    </row>
    <row r="289" spans="22:22">
      <c r="V289" s="37">
        <v>45205</v>
      </c>
    </row>
    <row r="290" spans="22:22">
      <c r="V290" s="37">
        <v>45206</v>
      </c>
    </row>
    <row r="291" spans="22:22">
      <c r="V291" s="37">
        <v>45207</v>
      </c>
    </row>
    <row r="292" spans="22:22">
      <c r="V292" s="37">
        <v>45208</v>
      </c>
    </row>
    <row r="293" spans="22:22">
      <c r="V293" s="37">
        <v>45209</v>
      </c>
    </row>
    <row r="294" spans="22:22">
      <c r="V294" s="37">
        <v>45210</v>
      </c>
    </row>
    <row r="295" spans="22:22">
      <c r="V295" s="37">
        <v>45211</v>
      </c>
    </row>
    <row r="296" spans="22:22">
      <c r="V296" s="37">
        <v>45212</v>
      </c>
    </row>
    <row r="297" spans="22:22">
      <c r="V297" s="37">
        <v>45213</v>
      </c>
    </row>
    <row r="298" spans="22:22">
      <c r="V298" s="37">
        <v>45214</v>
      </c>
    </row>
    <row r="299" spans="22:22">
      <c r="V299" s="37">
        <v>45215</v>
      </c>
    </row>
    <row r="300" spans="22:22">
      <c r="V300" s="37">
        <v>45216</v>
      </c>
    </row>
    <row r="301" spans="22:22">
      <c r="V301" s="37">
        <v>45217</v>
      </c>
    </row>
    <row r="302" spans="22:22">
      <c r="V302" s="37">
        <v>45218</v>
      </c>
    </row>
    <row r="303" spans="22:22">
      <c r="V303" s="37">
        <v>45219</v>
      </c>
    </row>
    <row r="304" spans="22:22">
      <c r="V304" s="37">
        <v>45220</v>
      </c>
    </row>
    <row r="305" spans="22:22">
      <c r="V305" s="37">
        <v>45221</v>
      </c>
    </row>
    <row r="306" spans="22:22">
      <c r="V306" s="37">
        <v>45222</v>
      </c>
    </row>
    <row r="307" spans="22:22">
      <c r="V307" s="37">
        <v>45223</v>
      </c>
    </row>
    <row r="308" spans="22:22">
      <c r="V308" s="37">
        <v>45224</v>
      </c>
    </row>
    <row r="309" spans="22:22">
      <c r="V309" s="37">
        <v>45225</v>
      </c>
    </row>
    <row r="310" spans="22:22">
      <c r="V310" s="37">
        <v>45226</v>
      </c>
    </row>
    <row r="311" spans="22:22">
      <c r="V311" s="37">
        <v>45227</v>
      </c>
    </row>
    <row r="312" spans="22:22">
      <c r="V312" s="37">
        <v>45228</v>
      </c>
    </row>
    <row r="313" spans="22:22">
      <c r="V313" s="37">
        <v>45229</v>
      </c>
    </row>
    <row r="314" spans="22:22">
      <c r="V314" s="37">
        <v>45230</v>
      </c>
    </row>
    <row r="315" spans="22:22">
      <c r="V315" s="37">
        <v>45231</v>
      </c>
    </row>
    <row r="316" spans="22:22">
      <c r="V316" s="37">
        <v>45232</v>
      </c>
    </row>
    <row r="317" spans="22:22">
      <c r="V317" s="37">
        <v>45233</v>
      </c>
    </row>
    <row r="318" spans="22:22">
      <c r="V318" s="37">
        <v>45234</v>
      </c>
    </row>
    <row r="319" spans="22:22">
      <c r="V319" s="37">
        <v>45235</v>
      </c>
    </row>
    <row r="320" spans="22:22">
      <c r="V320" s="37">
        <v>45236</v>
      </c>
    </row>
    <row r="321" spans="22:22">
      <c r="V321" s="37">
        <v>45237</v>
      </c>
    </row>
    <row r="322" spans="22:22">
      <c r="V322" s="37">
        <v>45238</v>
      </c>
    </row>
    <row r="323" spans="22:22">
      <c r="V323" s="37">
        <v>45239</v>
      </c>
    </row>
    <row r="324" spans="22:22">
      <c r="V324" s="37">
        <v>45240</v>
      </c>
    </row>
    <row r="325" spans="22:22">
      <c r="V325" s="37">
        <v>45241</v>
      </c>
    </row>
    <row r="326" spans="22:22">
      <c r="V326" s="37">
        <v>45242</v>
      </c>
    </row>
    <row r="327" spans="22:22">
      <c r="V327" s="37">
        <v>45243</v>
      </c>
    </row>
    <row r="328" spans="22:22">
      <c r="V328" s="37">
        <v>45244</v>
      </c>
    </row>
    <row r="329" spans="22:22">
      <c r="V329" s="37">
        <v>45245</v>
      </c>
    </row>
    <row r="330" spans="22:22">
      <c r="V330" s="37">
        <v>45246</v>
      </c>
    </row>
    <row r="331" spans="22:22">
      <c r="V331" s="37">
        <v>45247</v>
      </c>
    </row>
    <row r="332" spans="22:22">
      <c r="V332" s="37">
        <v>45248</v>
      </c>
    </row>
    <row r="333" spans="22:22">
      <c r="V333" s="37">
        <v>45249</v>
      </c>
    </row>
    <row r="334" spans="22:22">
      <c r="V334" s="37">
        <v>45250</v>
      </c>
    </row>
    <row r="335" spans="22:22">
      <c r="V335" s="37">
        <v>45251</v>
      </c>
    </row>
    <row r="336" spans="22:22">
      <c r="V336" s="37">
        <v>45252</v>
      </c>
    </row>
    <row r="337" spans="22:22">
      <c r="V337" s="37">
        <v>45253</v>
      </c>
    </row>
    <row r="338" spans="22:22">
      <c r="V338" s="37">
        <v>45254</v>
      </c>
    </row>
    <row r="339" spans="22:22">
      <c r="V339" s="37">
        <v>45255</v>
      </c>
    </row>
    <row r="340" spans="22:22">
      <c r="V340" s="37">
        <v>45256</v>
      </c>
    </row>
    <row r="341" spans="22:22">
      <c r="V341" s="37">
        <v>45257</v>
      </c>
    </row>
    <row r="342" spans="22:22">
      <c r="V342" s="37">
        <v>45258</v>
      </c>
    </row>
    <row r="343" spans="22:22">
      <c r="V343" s="37">
        <v>45259</v>
      </c>
    </row>
    <row r="344" spans="22:22">
      <c r="V344" s="37">
        <v>45260</v>
      </c>
    </row>
    <row r="345" spans="22:22">
      <c r="V345" s="37">
        <v>45261</v>
      </c>
    </row>
    <row r="346" spans="22:22">
      <c r="V346" s="37">
        <v>45262</v>
      </c>
    </row>
    <row r="347" spans="22:22">
      <c r="V347" s="37">
        <v>45263</v>
      </c>
    </row>
    <row r="348" spans="22:22">
      <c r="V348" s="37">
        <v>45264</v>
      </c>
    </row>
    <row r="349" spans="22:22">
      <c r="V349" s="37">
        <v>45265</v>
      </c>
    </row>
    <row r="350" spans="22:22">
      <c r="V350" s="37">
        <v>45266</v>
      </c>
    </row>
    <row r="351" spans="22:22">
      <c r="V351" s="37">
        <v>45267</v>
      </c>
    </row>
    <row r="352" spans="22:22">
      <c r="V352" s="37">
        <v>45268</v>
      </c>
    </row>
    <row r="353" spans="22:22">
      <c r="V353" s="37">
        <v>45269</v>
      </c>
    </row>
    <row r="354" spans="22:22">
      <c r="V354" s="37">
        <v>45270</v>
      </c>
    </row>
    <row r="355" spans="22:22">
      <c r="V355" s="37">
        <v>45271</v>
      </c>
    </row>
    <row r="356" spans="22:22">
      <c r="V356" s="37">
        <v>45272</v>
      </c>
    </row>
    <row r="357" spans="22:22">
      <c r="V357" s="37">
        <v>45273</v>
      </c>
    </row>
    <row r="358" spans="22:22">
      <c r="V358" s="37">
        <v>45274</v>
      </c>
    </row>
    <row r="359" spans="22:22">
      <c r="V359" s="37">
        <v>45275</v>
      </c>
    </row>
    <row r="360" spans="22:22">
      <c r="V360" s="37">
        <v>45276</v>
      </c>
    </row>
    <row r="361" spans="22:22">
      <c r="V361" s="37">
        <v>45277</v>
      </c>
    </row>
    <row r="362" spans="22:22">
      <c r="V362" s="37">
        <v>45278</v>
      </c>
    </row>
    <row r="363" spans="22:22">
      <c r="V363" s="37">
        <v>45279</v>
      </c>
    </row>
    <row r="364" spans="22:22">
      <c r="V364" s="37">
        <v>45280</v>
      </c>
    </row>
    <row r="365" spans="22:22">
      <c r="V365" s="37">
        <v>45281</v>
      </c>
    </row>
    <row r="366" spans="22:22">
      <c r="V366" s="37">
        <v>45282</v>
      </c>
    </row>
    <row r="367" spans="22:22">
      <c r="V367" s="37">
        <v>45283</v>
      </c>
    </row>
    <row r="368" spans="22:22">
      <c r="V368" s="37">
        <v>45284</v>
      </c>
    </row>
    <row r="369" spans="22:22">
      <c r="V369" s="37">
        <v>45285</v>
      </c>
    </row>
    <row r="370" spans="22:22">
      <c r="V370" s="37">
        <v>45286</v>
      </c>
    </row>
    <row r="371" spans="22:22">
      <c r="V371" s="37">
        <v>45287</v>
      </c>
    </row>
    <row r="372" spans="22:22">
      <c r="V372" s="37">
        <v>45288</v>
      </c>
    </row>
    <row r="373" spans="22:22">
      <c r="V373" s="37">
        <v>45289</v>
      </c>
    </row>
    <row r="374" spans="22:22">
      <c r="V374" s="37">
        <v>45290</v>
      </c>
    </row>
    <row r="375" spans="22:22">
      <c r="V375" s="37">
        <v>45291</v>
      </c>
    </row>
    <row r="376" spans="22:22">
      <c r="V376" s="37">
        <v>45292</v>
      </c>
    </row>
    <row r="377" spans="22:22">
      <c r="V377" s="37">
        <v>45293</v>
      </c>
    </row>
    <row r="378" spans="22:22">
      <c r="V378" s="37">
        <v>45294</v>
      </c>
    </row>
    <row r="379" spans="22:22">
      <c r="V379" s="37">
        <v>45295</v>
      </c>
    </row>
    <row r="380" spans="22:22">
      <c r="V380" s="37">
        <v>45296</v>
      </c>
    </row>
    <row r="381" spans="22:22">
      <c r="V381" s="37">
        <v>45297</v>
      </c>
    </row>
    <row r="382" spans="22:22">
      <c r="V382" s="37">
        <v>45298</v>
      </c>
    </row>
    <row r="383" spans="22:22">
      <c r="V383" s="37">
        <v>45299</v>
      </c>
    </row>
    <row r="384" spans="22:22">
      <c r="V384" s="37">
        <v>45300</v>
      </c>
    </row>
    <row r="385" spans="22:22">
      <c r="V385" s="37">
        <v>45301</v>
      </c>
    </row>
    <row r="386" spans="22:22">
      <c r="V386" s="37">
        <v>45302</v>
      </c>
    </row>
    <row r="387" spans="22:22">
      <c r="V387" s="37">
        <v>45303</v>
      </c>
    </row>
    <row r="388" spans="22:22">
      <c r="V388" s="37">
        <v>45304</v>
      </c>
    </row>
    <row r="389" spans="22:22">
      <c r="V389" s="37">
        <v>45305</v>
      </c>
    </row>
    <row r="390" spans="22:22">
      <c r="V390" s="37">
        <v>45306</v>
      </c>
    </row>
    <row r="391" spans="22:22">
      <c r="V391" s="37">
        <v>45307</v>
      </c>
    </row>
    <row r="392" spans="22:22">
      <c r="V392" s="37">
        <v>45308</v>
      </c>
    </row>
    <row r="393" spans="22:22">
      <c r="V393" s="37">
        <v>45309</v>
      </c>
    </row>
    <row r="394" spans="22:22">
      <c r="V394" s="37">
        <v>45310</v>
      </c>
    </row>
    <row r="395" spans="22:22">
      <c r="V395" s="37">
        <v>45311</v>
      </c>
    </row>
    <row r="396" spans="22:22">
      <c r="V396" s="37">
        <v>45312</v>
      </c>
    </row>
    <row r="397" spans="22:22">
      <c r="V397" s="37">
        <v>45313</v>
      </c>
    </row>
    <row r="398" spans="22:22">
      <c r="V398" s="37">
        <v>45314</v>
      </c>
    </row>
    <row r="399" spans="22:22">
      <c r="V399" s="37">
        <v>45315</v>
      </c>
    </row>
    <row r="400" spans="22:22">
      <c r="V400" s="37">
        <v>45316</v>
      </c>
    </row>
    <row r="401" spans="22:22">
      <c r="V401" s="37">
        <v>45317</v>
      </c>
    </row>
    <row r="402" spans="22:22">
      <c r="V402" s="37">
        <v>45318</v>
      </c>
    </row>
    <row r="403" spans="22:22">
      <c r="V403" s="37">
        <v>45319</v>
      </c>
    </row>
    <row r="404" spans="22:22">
      <c r="V404" s="37">
        <v>45320</v>
      </c>
    </row>
    <row r="405" spans="22:22">
      <c r="V405" s="37">
        <v>45321</v>
      </c>
    </row>
    <row r="406" spans="22:22">
      <c r="V406" s="37">
        <v>45322</v>
      </c>
    </row>
    <row r="407" spans="22:22">
      <c r="V407" s="37">
        <v>45323</v>
      </c>
    </row>
    <row r="408" spans="22:22">
      <c r="V408" s="37">
        <v>45324</v>
      </c>
    </row>
    <row r="409" spans="22:22">
      <c r="V409" s="37">
        <v>45325</v>
      </c>
    </row>
    <row r="410" spans="22:22">
      <c r="V410" s="37">
        <v>45326</v>
      </c>
    </row>
    <row r="411" spans="22:22">
      <c r="V411" s="37">
        <v>45327</v>
      </c>
    </row>
    <row r="412" spans="22:22">
      <c r="V412" s="37">
        <v>45328</v>
      </c>
    </row>
    <row r="413" spans="22:22">
      <c r="V413" s="37">
        <v>45329</v>
      </c>
    </row>
    <row r="414" spans="22:22">
      <c r="V414" s="37">
        <v>45330</v>
      </c>
    </row>
    <row r="415" spans="22:22">
      <c r="V415" s="37">
        <v>45331</v>
      </c>
    </row>
    <row r="416" spans="22:22">
      <c r="V416" s="37">
        <v>45332</v>
      </c>
    </row>
    <row r="417" spans="22:22">
      <c r="V417" s="37">
        <v>45333</v>
      </c>
    </row>
    <row r="418" spans="22:22">
      <c r="V418" s="37">
        <v>45334</v>
      </c>
    </row>
    <row r="419" spans="22:22">
      <c r="V419" s="37">
        <v>45335</v>
      </c>
    </row>
    <row r="420" spans="22:22">
      <c r="V420" s="37">
        <v>45336</v>
      </c>
    </row>
    <row r="421" spans="22:22">
      <c r="V421" s="37">
        <v>45337</v>
      </c>
    </row>
    <row r="422" spans="22:22">
      <c r="V422" s="37">
        <v>45338</v>
      </c>
    </row>
    <row r="423" spans="22:22">
      <c r="V423" s="37">
        <v>45339</v>
      </c>
    </row>
    <row r="424" spans="22:22">
      <c r="V424" s="37">
        <v>45340</v>
      </c>
    </row>
    <row r="425" spans="22:22">
      <c r="V425" s="37">
        <v>45341</v>
      </c>
    </row>
    <row r="426" spans="22:22">
      <c r="V426" s="37">
        <v>45342</v>
      </c>
    </row>
    <row r="427" spans="22:22">
      <c r="V427" s="37">
        <v>45343</v>
      </c>
    </row>
    <row r="428" spans="22:22">
      <c r="V428" s="37">
        <v>45344</v>
      </c>
    </row>
    <row r="429" spans="22:22">
      <c r="V429" s="37">
        <v>45345</v>
      </c>
    </row>
    <row r="430" spans="22:22">
      <c r="V430" s="37">
        <v>45346</v>
      </c>
    </row>
    <row r="431" spans="22:22">
      <c r="V431" s="37">
        <v>45347</v>
      </c>
    </row>
    <row r="432" spans="22:22">
      <c r="V432" s="37">
        <v>45348</v>
      </c>
    </row>
    <row r="433" spans="22:22">
      <c r="V433" s="37">
        <v>45349</v>
      </c>
    </row>
    <row r="434" spans="22:22">
      <c r="V434" s="37">
        <v>45350</v>
      </c>
    </row>
    <row r="435" spans="22:22">
      <c r="V435" s="37">
        <v>45352</v>
      </c>
    </row>
    <row r="436" spans="22:22">
      <c r="V436" s="37">
        <v>45353</v>
      </c>
    </row>
    <row r="437" spans="22:22">
      <c r="V437" s="37">
        <v>45354</v>
      </c>
    </row>
    <row r="438" spans="22:22">
      <c r="V438" s="37">
        <v>45355</v>
      </c>
    </row>
    <row r="439" spans="22:22">
      <c r="V439" s="37">
        <v>45356</v>
      </c>
    </row>
    <row r="440" spans="22:22">
      <c r="V440" s="37">
        <v>45357</v>
      </c>
    </row>
    <row r="441" spans="22:22">
      <c r="V441" s="37">
        <v>45358</v>
      </c>
    </row>
    <row r="442" spans="22:22">
      <c r="V442" s="37">
        <v>45359</v>
      </c>
    </row>
    <row r="443" spans="22:22">
      <c r="V443" s="37">
        <v>45360</v>
      </c>
    </row>
    <row r="444" spans="22:22">
      <c r="V444" s="37">
        <v>45361</v>
      </c>
    </row>
    <row r="445" spans="22:22">
      <c r="V445" s="37">
        <v>45362</v>
      </c>
    </row>
    <row r="446" spans="22:22">
      <c r="V446" s="37">
        <v>45363</v>
      </c>
    </row>
    <row r="447" spans="22:22">
      <c r="V447" s="37">
        <v>45364</v>
      </c>
    </row>
    <row r="448" spans="22:22">
      <c r="V448" s="37">
        <v>45365</v>
      </c>
    </row>
    <row r="449" spans="22:22">
      <c r="V449" s="37">
        <v>45366</v>
      </c>
    </row>
    <row r="450" spans="22:22">
      <c r="V450" s="37">
        <v>45367</v>
      </c>
    </row>
    <row r="451" spans="22:22">
      <c r="V451" s="37">
        <v>45368</v>
      </c>
    </row>
    <row r="452" spans="22:22">
      <c r="V452" s="37">
        <v>45369</v>
      </c>
    </row>
    <row r="453" spans="22:22">
      <c r="V453" s="37">
        <v>45370</v>
      </c>
    </row>
    <row r="454" spans="22:22">
      <c r="V454" s="37">
        <v>45371</v>
      </c>
    </row>
    <row r="455" spans="22:22">
      <c r="V455" s="37">
        <v>45372</v>
      </c>
    </row>
    <row r="456" spans="22:22">
      <c r="V456" s="37">
        <v>45373</v>
      </c>
    </row>
    <row r="457" spans="22:22">
      <c r="V457" s="37">
        <v>45374</v>
      </c>
    </row>
    <row r="458" spans="22:22">
      <c r="V458" s="37">
        <v>45375</v>
      </c>
    </row>
    <row r="459" spans="22:22">
      <c r="V459" s="37">
        <v>45376</v>
      </c>
    </row>
    <row r="460" spans="22:22">
      <c r="V460" s="37">
        <v>45377</v>
      </c>
    </row>
    <row r="461" spans="22:22">
      <c r="V461" s="37">
        <v>45378</v>
      </c>
    </row>
    <row r="462" spans="22:22">
      <c r="V462" s="37">
        <v>45379</v>
      </c>
    </row>
    <row r="463" spans="22:22">
      <c r="V463" s="37">
        <v>45380</v>
      </c>
    </row>
    <row r="464" spans="22:22">
      <c r="V464" s="37">
        <v>45381</v>
      </c>
    </row>
    <row r="465" spans="22:22">
      <c r="V465" s="37">
        <v>45382</v>
      </c>
    </row>
    <row r="466" spans="22:22">
      <c r="V466" s="37">
        <v>45383</v>
      </c>
    </row>
    <row r="467" spans="22:22">
      <c r="V467" s="37">
        <v>45384</v>
      </c>
    </row>
    <row r="468" spans="22:22">
      <c r="V468" s="37">
        <v>45385</v>
      </c>
    </row>
    <row r="469" spans="22:22">
      <c r="V469" s="37">
        <v>45386</v>
      </c>
    </row>
    <row r="470" spans="22:22">
      <c r="V470" s="37">
        <v>45387</v>
      </c>
    </row>
    <row r="471" spans="22:22">
      <c r="V471" s="37">
        <v>45388</v>
      </c>
    </row>
    <row r="472" spans="22:22">
      <c r="V472" s="37">
        <v>45389</v>
      </c>
    </row>
    <row r="473" spans="22:22">
      <c r="V473" s="37">
        <v>45390</v>
      </c>
    </row>
    <row r="474" spans="22:22">
      <c r="V474" s="37">
        <v>45391</v>
      </c>
    </row>
    <row r="475" spans="22:22">
      <c r="V475" s="37">
        <v>45392</v>
      </c>
    </row>
    <row r="476" spans="22:22">
      <c r="V476" s="37">
        <v>45393</v>
      </c>
    </row>
    <row r="477" spans="22:22">
      <c r="V477" s="37">
        <v>45394</v>
      </c>
    </row>
    <row r="478" spans="22:22">
      <c r="V478" s="37">
        <v>45395</v>
      </c>
    </row>
    <row r="479" spans="22:22">
      <c r="V479" s="37">
        <v>45396</v>
      </c>
    </row>
    <row r="480" spans="22:22">
      <c r="V480" s="37">
        <v>45397</v>
      </c>
    </row>
    <row r="481" spans="22:22">
      <c r="V481" s="37">
        <v>45398</v>
      </c>
    </row>
    <row r="482" spans="22:22">
      <c r="V482" s="37">
        <v>45399</v>
      </c>
    </row>
    <row r="483" spans="22:22">
      <c r="V483" s="37">
        <v>45400</v>
      </c>
    </row>
    <row r="484" spans="22:22">
      <c r="V484" s="37">
        <v>45401</v>
      </c>
    </row>
    <row r="485" spans="22:22">
      <c r="V485" s="37">
        <v>45402</v>
      </c>
    </row>
    <row r="486" spans="22:22">
      <c r="V486" s="37">
        <v>45403</v>
      </c>
    </row>
    <row r="487" spans="22:22">
      <c r="V487" s="37">
        <v>45404</v>
      </c>
    </row>
    <row r="488" spans="22:22">
      <c r="V488" s="37">
        <v>45405</v>
      </c>
    </row>
    <row r="489" spans="22:22">
      <c r="V489" s="37">
        <v>45406</v>
      </c>
    </row>
    <row r="490" spans="22:22">
      <c r="V490" s="37">
        <v>45407</v>
      </c>
    </row>
    <row r="491" spans="22:22">
      <c r="V491" s="37">
        <v>45408</v>
      </c>
    </row>
    <row r="492" spans="22:22">
      <c r="V492" s="37">
        <v>45409</v>
      </c>
    </row>
    <row r="493" spans="22:22">
      <c r="V493" s="37">
        <v>45410</v>
      </c>
    </row>
    <row r="494" spans="22:22">
      <c r="V494" s="37">
        <v>45411</v>
      </c>
    </row>
    <row r="495" spans="22:22">
      <c r="V495" s="37">
        <v>45412</v>
      </c>
    </row>
    <row r="496" spans="22:22">
      <c r="V496" s="37">
        <v>45413</v>
      </c>
    </row>
    <row r="497" spans="22:22">
      <c r="V497" s="37">
        <v>45414</v>
      </c>
    </row>
    <row r="498" spans="22:22">
      <c r="V498" s="37">
        <v>45415</v>
      </c>
    </row>
    <row r="499" spans="22:22">
      <c r="V499" s="37">
        <v>45416</v>
      </c>
    </row>
    <row r="500" spans="22:22">
      <c r="V500" s="37">
        <v>45417</v>
      </c>
    </row>
    <row r="501" spans="22:22">
      <c r="V501" s="37">
        <v>45418</v>
      </c>
    </row>
    <row r="502" spans="22:22">
      <c r="V502" s="37">
        <v>45419</v>
      </c>
    </row>
    <row r="503" spans="22:22">
      <c r="V503" s="37">
        <v>45420</v>
      </c>
    </row>
    <row r="504" spans="22:22">
      <c r="V504" s="37">
        <v>45421</v>
      </c>
    </row>
    <row r="505" spans="22:22">
      <c r="V505" s="37">
        <v>45422</v>
      </c>
    </row>
    <row r="506" spans="22:22">
      <c r="V506" s="37">
        <v>45423</v>
      </c>
    </row>
    <row r="507" spans="22:22">
      <c r="V507" s="37">
        <v>45424</v>
      </c>
    </row>
    <row r="508" spans="22:22">
      <c r="V508" s="37">
        <v>45425</v>
      </c>
    </row>
    <row r="509" spans="22:22">
      <c r="V509" s="37">
        <v>45426</v>
      </c>
    </row>
    <row r="510" spans="22:22">
      <c r="V510" s="37">
        <v>45427</v>
      </c>
    </row>
    <row r="511" spans="22:22">
      <c r="V511" s="37">
        <v>45428</v>
      </c>
    </row>
    <row r="512" spans="22:22">
      <c r="V512" s="37">
        <v>45429</v>
      </c>
    </row>
    <row r="513" spans="22:22">
      <c r="V513" s="37">
        <v>45430</v>
      </c>
    </row>
    <row r="514" spans="22:22">
      <c r="V514" s="37">
        <v>45431</v>
      </c>
    </row>
    <row r="515" spans="22:22">
      <c r="V515" s="37">
        <v>45432</v>
      </c>
    </row>
    <row r="516" spans="22:22">
      <c r="V516" s="37">
        <v>45433</v>
      </c>
    </row>
    <row r="517" spans="22:22">
      <c r="V517" s="37">
        <v>45434</v>
      </c>
    </row>
    <row r="518" spans="22:22">
      <c r="V518" s="37">
        <v>45435</v>
      </c>
    </row>
    <row r="519" spans="22:22">
      <c r="V519" s="37">
        <v>45436</v>
      </c>
    </row>
    <row r="520" spans="22:22">
      <c r="V520" s="37">
        <v>45437</v>
      </c>
    </row>
    <row r="521" spans="22:22">
      <c r="V521" s="37">
        <v>45438</v>
      </c>
    </row>
    <row r="522" spans="22:22">
      <c r="V522" s="37">
        <v>45439</v>
      </c>
    </row>
    <row r="523" spans="22:22">
      <c r="V523" s="37">
        <v>45440</v>
      </c>
    </row>
    <row r="524" spans="22:22">
      <c r="V524" s="37">
        <v>45441</v>
      </c>
    </row>
    <row r="525" spans="22:22">
      <c r="V525" s="37">
        <v>45442</v>
      </c>
    </row>
    <row r="526" spans="22:22">
      <c r="V526" s="37">
        <v>45443</v>
      </c>
    </row>
    <row r="527" spans="22:22">
      <c r="V527" s="37">
        <v>45444</v>
      </c>
    </row>
    <row r="528" spans="22:22">
      <c r="V528" s="37">
        <v>45445</v>
      </c>
    </row>
    <row r="529" spans="22:22">
      <c r="V529" s="37">
        <v>45446</v>
      </c>
    </row>
    <row r="530" spans="22:22">
      <c r="V530" s="37">
        <v>45447</v>
      </c>
    </row>
    <row r="531" spans="22:22">
      <c r="V531" s="37">
        <v>45448</v>
      </c>
    </row>
    <row r="532" spans="22:22">
      <c r="V532" s="37">
        <v>45449</v>
      </c>
    </row>
    <row r="533" spans="22:22">
      <c r="V533" s="37">
        <v>45450</v>
      </c>
    </row>
    <row r="534" spans="22:22">
      <c r="V534" s="37">
        <v>45451</v>
      </c>
    </row>
    <row r="535" spans="22:22">
      <c r="V535" s="37">
        <v>45452</v>
      </c>
    </row>
    <row r="536" spans="22:22">
      <c r="V536" s="37">
        <v>45453</v>
      </c>
    </row>
    <row r="537" spans="22:22">
      <c r="V537" s="37">
        <v>45454</v>
      </c>
    </row>
    <row r="538" spans="22:22">
      <c r="V538" s="37">
        <v>45455</v>
      </c>
    </row>
    <row r="539" spans="22:22">
      <c r="V539" s="37">
        <v>45456</v>
      </c>
    </row>
    <row r="540" spans="22:22">
      <c r="V540" s="37">
        <v>45457</v>
      </c>
    </row>
    <row r="541" spans="22:22">
      <c r="V541" s="37">
        <v>45458</v>
      </c>
    </row>
    <row r="542" spans="22:22">
      <c r="V542" s="37">
        <v>45459</v>
      </c>
    </row>
    <row r="543" spans="22:22">
      <c r="V543" s="37">
        <v>45460</v>
      </c>
    </row>
    <row r="544" spans="22:22">
      <c r="V544" s="37">
        <v>45461</v>
      </c>
    </row>
    <row r="545" spans="22:22">
      <c r="V545" s="37">
        <v>45462</v>
      </c>
    </row>
    <row r="546" spans="22:22">
      <c r="V546" s="37">
        <v>45463</v>
      </c>
    </row>
    <row r="547" spans="22:22">
      <c r="V547" s="37">
        <v>45464</v>
      </c>
    </row>
    <row r="548" spans="22:22">
      <c r="V548" s="37">
        <v>45465</v>
      </c>
    </row>
    <row r="549" spans="22:22">
      <c r="V549" s="37">
        <v>45466</v>
      </c>
    </row>
    <row r="550" spans="22:22">
      <c r="V550" s="37">
        <v>45467</v>
      </c>
    </row>
    <row r="551" spans="22:22">
      <c r="V551" s="37">
        <v>45468</v>
      </c>
    </row>
    <row r="552" spans="22:22">
      <c r="V552" s="37">
        <v>45469</v>
      </c>
    </row>
    <row r="553" spans="22:22">
      <c r="V553" s="37">
        <v>45470</v>
      </c>
    </row>
    <row r="554" spans="22:22">
      <c r="V554" s="37">
        <v>45471</v>
      </c>
    </row>
    <row r="555" spans="22:22">
      <c r="V555" s="37">
        <v>45472</v>
      </c>
    </row>
    <row r="556" spans="22:22">
      <c r="V556" s="37">
        <v>45473</v>
      </c>
    </row>
    <row r="557" spans="22:22">
      <c r="V557" s="37">
        <v>45474</v>
      </c>
    </row>
    <row r="558" spans="22:22">
      <c r="V558" s="37">
        <v>45475</v>
      </c>
    </row>
    <row r="559" spans="22:22">
      <c r="V559" s="37">
        <v>45476</v>
      </c>
    </row>
    <row r="560" spans="22:22">
      <c r="V560" s="37">
        <v>45477</v>
      </c>
    </row>
    <row r="561" spans="22:22">
      <c r="V561" s="37">
        <v>45478</v>
      </c>
    </row>
    <row r="562" spans="22:22">
      <c r="V562" s="37">
        <v>45479</v>
      </c>
    </row>
    <row r="563" spans="22:22">
      <c r="V563" s="37">
        <v>45480</v>
      </c>
    </row>
    <row r="564" spans="22:22">
      <c r="V564" s="37">
        <v>45481</v>
      </c>
    </row>
    <row r="565" spans="22:22">
      <c r="V565" s="37">
        <v>45482</v>
      </c>
    </row>
    <row r="566" spans="22:22">
      <c r="V566" s="37">
        <v>45483</v>
      </c>
    </row>
    <row r="567" spans="22:22">
      <c r="V567" s="37">
        <v>45484</v>
      </c>
    </row>
    <row r="568" spans="22:22">
      <c r="V568" s="37">
        <v>45485</v>
      </c>
    </row>
    <row r="569" spans="22:22">
      <c r="V569" s="37">
        <v>45486</v>
      </c>
    </row>
    <row r="570" spans="22:22">
      <c r="V570" s="37">
        <v>45487</v>
      </c>
    </row>
    <row r="571" spans="22:22">
      <c r="V571" s="37">
        <v>45488</v>
      </c>
    </row>
    <row r="572" spans="22:22">
      <c r="V572" s="37">
        <v>45489</v>
      </c>
    </row>
    <row r="573" spans="22:22">
      <c r="V573" s="37">
        <v>45490</v>
      </c>
    </row>
    <row r="574" spans="22:22">
      <c r="V574" s="37">
        <v>45491</v>
      </c>
    </row>
    <row r="575" spans="22:22">
      <c r="V575" s="37">
        <v>45492</v>
      </c>
    </row>
    <row r="576" spans="22:22">
      <c r="V576" s="37">
        <v>45493</v>
      </c>
    </row>
    <row r="577" spans="22:22">
      <c r="V577" s="37">
        <v>45494</v>
      </c>
    </row>
    <row r="578" spans="22:22">
      <c r="V578" s="37">
        <v>45495</v>
      </c>
    </row>
    <row r="579" spans="22:22">
      <c r="V579" s="37">
        <v>45496</v>
      </c>
    </row>
    <row r="580" spans="22:22">
      <c r="V580" s="37">
        <v>45497</v>
      </c>
    </row>
    <row r="581" spans="22:22">
      <c r="V581" s="37">
        <v>45498</v>
      </c>
    </row>
    <row r="582" spans="22:22">
      <c r="V582" s="37">
        <v>45499</v>
      </c>
    </row>
    <row r="583" spans="22:22">
      <c r="V583" s="37">
        <v>45500</v>
      </c>
    </row>
    <row r="584" spans="22:22">
      <c r="V584" s="37">
        <v>45501</v>
      </c>
    </row>
    <row r="585" spans="22:22">
      <c r="V585" s="37">
        <v>45502</v>
      </c>
    </row>
    <row r="586" spans="22:22">
      <c r="V586" s="37">
        <v>45503</v>
      </c>
    </row>
    <row r="587" spans="22:22">
      <c r="V587" s="37">
        <v>45504</v>
      </c>
    </row>
    <row r="588" spans="22:22">
      <c r="V588" s="37">
        <v>45505</v>
      </c>
    </row>
    <row r="589" spans="22:22">
      <c r="V589" s="37">
        <v>45506</v>
      </c>
    </row>
    <row r="590" spans="22:22">
      <c r="V590" s="37">
        <v>45507</v>
      </c>
    </row>
    <row r="591" spans="22:22">
      <c r="V591" s="37">
        <v>45508</v>
      </c>
    </row>
    <row r="592" spans="22:22">
      <c r="V592" s="37">
        <v>45509</v>
      </c>
    </row>
    <row r="593" spans="22:22">
      <c r="V593" s="37">
        <v>45510</v>
      </c>
    </row>
    <row r="594" spans="22:22">
      <c r="V594" s="37">
        <v>45511</v>
      </c>
    </row>
    <row r="595" spans="22:22">
      <c r="V595" s="37">
        <v>45512</v>
      </c>
    </row>
    <row r="596" spans="22:22">
      <c r="V596" s="37">
        <v>45513</v>
      </c>
    </row>
    <row r="597" spans="22:22">
      <c r="V597" s="37">
        <v>45514</v>
      </c>
    </row>
    <row r="598" spans="22:22">
      <c r="V598" s="37">
        <v>45515</v>
      </c>
    </row>
    <row r="599" spans="22:22">
      <c r="V599" s="37">
        <v>45516</v>
      </c>
    </row>
    <row r="600" spans="22:22">
      <c r="V600" s="37">
        <v>45517</v>
      </c>
    </row>
    <row r="601" spans="22:22">
      <c r="V601" s="37">
        <v>45518</v>
      </c>
    </row>
    <row r="602" spans="22:22">
      <c r="V602" s="37">
        <v>45519</v>
      </c>
    </row>
    <row r="603" spans="22:22">
      <c r="V603" s="37">
        <v>45520</v>
      </c>
    </row>
    <row r="604" spans="22:22">
      <c r="V604" s="37">
        <v>45521</v>
      </c>
    </row>
    <row r="605" spans="22:22">
      <c r="V605" s="37">
        <v>45522</v>
      </c>
    </row>
    <row r="606" spans="22:22">
      <c r="V606" s="37">
        <v>45523</v>
      </c>
    </row>
    <row r="607" spans="22:22">
      <c r="V607" s="37">
        <v>45524</v>
      </c>
    </row>
    <row r="608" spans="22:22">
      <c r="V608" s="37">
        <v>45525</v>
      </c>
    </row>
    <row r="609" spans="22:22">
      <c r="V609" s="37">
        <v>45526</v>
      </c>
    </row>
    <row r="610" spans="22:22">
      <c r="V610" s="37">
        <v>45527</v>
      </c>
    </row>
    <row r="611" spans="22:22">
      <c r="V611" s="37">
        <v>45528</v>
      </c>
    </row>
    <row r="612" spans="22:22">
      <c r="V612" s="37">
        <v>45529</v>
      </c>
    </row>
    <row r="613" spans="22:22">
      <c r="V613" s="37">
        <v>45530</v>
      </c>
    </row>
    <row r="614" spans="22:22">
      <c r="V614" s="37">
        <v>45531</v>
      </c>
    </row>
    <row r="615" spans="22:22">
      <c r="V615" s="37">
        <v>45532</v>
      </c>
    </row>
    <row r="616" spans="22:22">
      <c r="V616" s="37">
        <v>45533</v>
      </c>
    </row>
    <row r="617" spans="22:22">
      <c r="V617" s="37">
        <v>45534</v>
      </c>
    </row>
    <row r="618" spans="22:22">
      <c r="V618" s="37">
        <v>45535</v>
      </c>
    </row>
    <row r="619" spans="22:22">
      <c r="V619" s="37">
        <v>45536</v>
      </c>
    </row>
    <row r="620" spans="22:22">
      <c r="V620" s="37">
        <v>45537</v>
      </c>
    </row>
    <row r="621" spans="22:22">
      <c r="V621" s="37">
        <v>45538</v>
      </c>
    </row>
    <row r="622" spans="22:22">
      <c r="V622" s="37">
        <v>45539</v>
      </c>
    </row>
    <row r="623" spans="22:22">
      <c r="V623" s="37">
        <v>45540</v>
      </c>
    </row>
    <row r="624" spans="22:22">
      <c r="V624" s="37">
        <v>45541</v>
      </c>
    </row>
    <row r="625" spans="22:22">
      <c r="V625" s="37">
        <v>45542</v>
      </c>
    </row>
    <row r="626" spans="22:22">
      <c r="V626" s="37">
        <v>45543</v>
      </c>
    </row>
    <row r="627" spans="22:22">
      <c r="V627" s="37">
        <v>45544</v>
      </c>
    </row>
    <row r="628" spans="22:22">
      <c r="V628" s="37">
        <v>45545</v>
      </c>
    </row>
    <row r="629" spans="22:22">
      <c r="V629" s="37">
        <v>45546</v>
      </c>
    </row>
    <row r="630" spans="22:22">
      <c r="V630" s="37">
        <v>45547</v>
      </c>
    </row>
    <row r="631" spans="22:22">
      <c r="V631" s="37">
        <v>45548</v>
      </c>
    </row>
    <row r="632" spans="22:22">
      <c r="V632" s="37">
        <v>45549</v>
      </c>
    </row>
    <row r="633" spans="22:22">
      <c r="V633" s="37">
        <v>45550</v>
      </c>
    </row>
    <row r="634" spans="22:22">
      <c r="V634" s="37">
        <v>45551</v>
      </c>
    </row>
    <row r="635" spans="22:22">
      <c r="V635" s="37">
        <v>45552</v>
      </c>
    </row>
    <row r="636" spans="22:22">
      <c r="V636" s="37">
        <v>45553</v>
      </c>
    </row>
    <row r="637" spans="22:22">
      <c r="V637" s="37">
        <v>45554</v>
      </c>
    </row>
    <row r="638" spans="22:22">
      <c r="V638" s="37">
        <v>45555</v>
      </c>
    </row>
    <row r="639" spans="22:22">
      <c r="V639" s="37">
        <v>45556</v>
      </c>
    </row>
    <row r="640" spans="22:22">
      <c r="V640" s="37">
        <v>45557</v>
      </c>
    </row>
    <row r="641" spans="22:22">
      <c r="V641" s="37">
        <v>45558</v>
      </c>
    </row>
    <row r="642" spans="22:22">
      <c r="V642" s="37">
        <v>45559</v>
      </c>
    </row>
    <row r="643" spans="22:22">
      <c r="V643" s="37">
        <v>45560</v>
      </c>
    </row>
    <row r="644" spans="22:22">
      <c r="V644" s="37">
        <v>45561</v>
      </c>
    </row>
    <row r="645" spans="22:22">
      <c r="V645" s="37">
        <v>45562</v>
      </c>
    </row>
    <row r="646" spans="22:22">
      <c r="V646" s="37">
        <v>45563</v>
      </c>
    </row>
    <row r="647" spans="22:22">
      <c r="V647" s="37">
        <v>45564</v>
      </c>
    </row>
    <row r="648" spans="22:22">
      <c r="V648" s="37">
        <v>45565</v>
      </c>
    </row>
    <row r="649" spans="22:22">
      <c r="V649" s="37">
        <v>45566</v>
      </c>
    </row>
    <row r="650" spans="22:22">
      <c r="V650" s="37">
        <v>45567</v>
      </c>
    </row>
    <row r="651" spans="22:22">
      <c r="V651" s="37">
        <v>45568</v>
      </c>
    </row>
    <row r="652" spans="22:22">
      <c r="V652" s="37">
        <v>45569</v>
      </c>
    </row>
    <row r="653" spans="22:22">
      <c r="V653" s="37">
        <v>45570</v>
      </c>
    </row>
    <row r="654" spans="22:22">
      <c r="V654" s="37">
        <v>45571</v>
      </c>
    </row>
    <row r="655" spans="22:22">
      <c r="V655" s="37">
        <v>45572</v>
      </c>
    </row>
    <row r="656" spans="22:22">
      <c r="V656" s="37">
        <v>45573</v>
      </c>
    </row>
    <row r="657" spans="22:22">
      <c r="V657" s="37">
        <v>45574</v>
      </c>
    </row>
    <row r="658" spans="22:22">
      <c r="V658" s="37">
        <v>45575</v>
      </c>
    </row>
    <row r="659" spans="22:22">
      <c r="V659" s="37">
        <v>45576</v>
      </c>
    </row>
    <row r="660" spans="22:22">
      <c r="V660" s="37">
        <v>45577</v>
      </c>
    </row>
    <row r="661" spans="22:22">
      <c r="V661" s="37">
        <v>45578</v>
      </c>
    </row>
    <row r="662" spans="22:22">
      <c r="V662" s="37">
        <v>45579</v>
      </c>
    </row>
    <row r="663" spans="22:22">
      <c r="V663" s="37">
        <v>45580</v>
      </c>
    </row>
    <row r="664" spans="22:22">
      <c r="V664" s="37">
        <v>45581</v>
      </c>
    </row>
    <row r="665" spans="22:22">
      <c r="V665" s="37">
        <v>45582</v>
      </c>
    </row>
    <row r="666" spans="22:22">
      <c r="V666" s="37">
        <v>45583</v>
      </c>
    </row>
    <row r="667" spans="22:22">
      <c r="V667" s="37">
        <v>45584</v>
      </c>
    </row>
    <row r="668" spans="22:22">
      <c r="V668" s="37">
        <v>45585</v>
      </c>
    </row>
    <row r="669" spans="22:22">
      <c r="V669" s="37">
        <v>45586</v>
      </c>
    </row>
    <row r="670" spans="22:22">
      <c r="V670" s="37">
        <v>45587</v>
      </c>
    </row>
    <row r="671" spans="22:22">
      <c r="V671" s="37">
        <v>45588</v>
      </c>
    </row>
    <row r="672" spans="22:22">
      <c r="V672" s="37">
        <v>45589</v>
      </c>
    </row>
    <row r="673" spans="22:22">
      <c r="V673" s="37">
        <v>45590</v>
      </c>
    </row>
    <row r="674" spans="22:22">
      <c r="V674" s="37">
        <v>45591</v>
      </c>
    </row>
    <row r="675" spans="22:22">
      <c r="V675" s="37">
        <v>45592</v>
      </c>
    </row>
    <row r="676" spans="22:22">
      <c r="V676" s="37">
        <v>45593</v>
      </c>
    </row>
    <row r="677" spans="22:22">
      <c r="V677" s="37">
        <v>45594</v>
      </c>
    </row>
    <row r="678" spans="22:22">
      <c r="V678" s="37">
        <v>45595</v>
      </c>
    </row>
    <row r="679" spans="22:22">
      <c r="V679" s="37">
        <v>45596</v>
      </c>
    </row>
    <row r="680" spans="22:22">
      <c r="V680" s="37">
        <v>45597</v>
      </c>
    </row>
    <row r="681" spans="22:22">
      <c r="V681" s="37">
        <v>45598</v>
      </c>
    </row>
    <row r="682" spans="22:22">
      <c r="V682" s="37">
        <v>45599</v>
      </c>
    </row>
    <row r="683" spans="22:22">
      <c r="V683" s="37">
        <v>45600</v>
      </c>
    </row>
    <row r="684" spans="22:22">
      <c r="V684" s="37">
        <v>45601</v>
      </c>
    </row>
    <row r="685" spans="22:22">
      <c r="V685" s="37">
        <v>45602</v>
      </c>
    </row>
    <row r="686" spans="22:22">
      <c r="V686" s="37">
        <v>45603</v>
      </c>
    </row>
    <row r="687" spans="22:22">
      <c r="V687" s="37">
        <v>45604</v>
      </c>
    </row>
    <row r="688" spans="22:22">
      <c r="V688" s="37">
        <v>45605</v>
      </c>
    </row>
    <row r="689" spans="22:22">
      <c r="V689" s="37">
        <v>45606</v>
      </c>
    </row>
    <row r="690" spans="22:22">
      <c r="V690" s="37">
        <v>45607</v>
      </c>
    </row>
    <row r="691" spans="22:22">
      <c r="V691" s="37">
        <v>45608</v>
      </c>
    </row>
    <row r="692" spans="22:22">
      <c r="V692" s="37">
        <v>45609</v>
      </c>
    </row>
    <row r="693" spans="22:22">
      <c r="V693" s="37">
        <v>45610</v>
      </c>
    </row>
    <row r="694" spans="22:22">
      <c r="V694" s="37">
        <v>45611</v>
      </c>
    </row>
    <row r="695" spans="22:22">
      <c r="V695" s="37">
        <v>45612</v>
      </c>
    </row>
    <row r="696" spans="22:22">
      <c r="V696" s="37">
        <v>45613</v>
      </c>
    </row>
    <row r="697" spans="22:22">
      <c r="V697" s="37">
        <v>45614</v>
      </c>
    </row>
    <row r="698" spans="22:22">
      <c r="V698" s="37">
        <v>45615</v>
      </c>
    </row>
    <row r="699" spans="22:22">
      <c r="V699" s="37">
        <v>45616</v>
      </c>
    </row>
    <row r="700" spans="22:22">
      <c r="V700" s="37">
        <v>45617</v>
      </c>
    </row>
    <row r="701" spans="22:22">
      <c r="V701" s="37">
        <v>45618</v>
      </c>
    </row>
    <row r="702" spans="22:22">
      <c r="V702" s="37">
        <v>45619</v>
      </c>
    </row>
    <row r="703" spans="22:22">
      <c r="V703" s="37">
        <v>45620</v>
      </c>
    </row>
    <row r="704" spans="22:22">
      <c r="V704" s="37">
        <v>45621</v>
      </c>
    </row>
    <row r="705" spans="22:22">
      <c r="V705" s="37">
        <v>45622</v>
      </c>
    </row>
    <row r="706" spans="22:22">
      <c r="V706" s="37">
        <v>45623</v>
      </c>
    </row>
    <row r="707" spans="22:22">
      <c r="V707" s="37">
        <v>45624</v>
      </c>
    </row>
    <row r="708" spans="22:22">
      <c r="V708" s="37">
        <v>45625</v>
      </c>
    </row>
    <row r="709" spans="22:22">
      <c r="V709" s="37">
        <v>45626</v>
      </c>
    </row>
    <row r="710" spans="22:22">
      <c r="V710" s="37">
        <v>45627</v>
      </c>
    </row>
    <row r="711" spans="22:22">
      <c r="V711" s="37">
        <v>45628</v>
      </c>
    </row>
    <row r="712" spans="22:22">
      <c r="V712" s="37">
        <v>45629</v>
      </c>
    </row>
    <row r="713" spans="22:22">
      <c r="V713" s="37">
        <v>45630</v>
      </c>
    </row>
    <row r="714" spans="22:22">
      <c r="V714" s="37">
        <v>45631</v>
      </c>
    </row>
    <row r="715" spans="22:22">
      <c r="V715" s="37">
        <v>45632</v>
      </c>
    </row>
    <row r="716" spans="22:22">
      <c r="V716" s="37">
        <v>45633</v>
      </c>
    </row>
    <row r="717" spans="22:22">
      <c r="V717" s="37">
        <v>45634</v>
      </c>
    </row>
    <row r="718" spans="22:22">
      <c r="V718" s="37">
        <v>45635</v>
      </c>
    </row>
    <row r="719" spans="22:22">
      <c r="V719" s="37">
        <v>45636</v>
      </c>
    </row>
    <row r="720" spans="22:22">
      <c r="V720" s="37">
        <v>45637</v>
      </c>
    </row>
    <row r="721" spans="22:22">
      <c r="V721" s="37">
        <v>45638</v>
      </c>
    </row>
    <row r="722" spans="22:22">
      <c r="V722" s="37">
        <v>45639</v>
      </c>
    </row>
    <row r="723" spans="22:22">
      <c r="V723" s="37">
        <v>45640</v>
      </c>
    </row>
    <row r="724" spans="22:22">
      <c r="V724" s="37">
        <v>45641</v>
      </c>
    </row>
    <row r="725" spans="22:22">
      <c r="V725" s="37">
        <v>45642</v>
      </c>
    </row>
    <row r="726" spans="22:22">
      <c r="V726" s="37">
        <v>45643</v>
      </c>
    </row>
    <row r="727" spans="22:22">
      <c r="V727" s="37">
        <v>45644</v>
      </c>
    </row>
    <row r="728" spans="22:22">
      <c r="V728" s="37">
        <v>45645</v>
      </c>
    </row>
    <row r="729" spans="22:22">
      <c r="V729" s="37">
        <v>45646</v>
      </c>
    </row>
    <row r="730" spans="22:22">
      <c r="V730" s="37">
        <v>45647</v>
      </c>
    </row>
    <row r="731" spans="22:22">
      <c r="V731" s="37">
        <v>45648</v>
      </c>
    </row>
    <row r="732" spans="22:22">
      <c r="V732" s="37">
        <v>45649</v>
      </c>
    </row>
    <row r="733" spans="22:22">
      <c r="V733" s="37">
        <v>45650</v>
      </c>
    </row>
    <row r="734" spans="22:22">
      <c r="V734" s="37">
        <v>45651</v>
      </c>
    </row>
    <row r="735" spans="22:22">
      <c r="V735" s="37">
        <v>45652</v>
      </c>
    </row>
    <row r="736" spans="22:22">
      <c r="V736" s="37">
        <v>45653</v>
      </c>
    </row>
    <row r="737" spans="22:22">
      <c r="V737" s="37">
        <v>45654</v>
      </c>
    </row>
    <row r="738" spans="22:22">
      <c r="V738" s="37">
        <v>45655</v>
      </c>
    </row>
    <row r="739" spans="22:22">
      <c r="V739" s="37">
        <v>45656</v>
      </c>
    </row>
    <row r="740" spans="22:22">
      <c r="V740" s="37">
        <v>45657</v>
      </c>
    </row>
  </sheetData>
  <sheetProtection algorithmName="SHA-512" hashValue="nJjpWKTcPQYdbgvr++XietUVmtk59BfqKoiWl9wFOJZnqBhlzehXcBmlHkr5aokS5h9X+LbgYR4XDl+hi8Pgtw==" saltValue="B473k8LFvC188G87Nt7GRg==" spinCount="100000" sheet="1" objects="1" scenarios="1"/>
  <mergeCells count="33">
    <mergeCell ref="O15:O16"/>
    <mergeCell ref="H17:I17"/>
    <mergeCell ref="L17:M17"/>
    <mergeCell ref="H18:I18"/>
    <mergeCell ref="L21:M21"/>
    <mergeCell ref="L18:M18"/>
    <mergeCell ref="L15:M16"/>
    <mergeCell ref="N15:N16"/>
    <mergeCell ref="C1:O3"/>
    <mergeCell ref="F4:L5"/>
    <mergeCell ref="C8:C10"/>
    <mergeCell ref="D8:D10"/>
    <mergeCell ref="F8:J8"/>
    <mergeCell ref="L10:O12"/>
    <mergeCell ref="C11:C13"/>
    <mergeCell ref="D11:D13"/>
    <mergeCell ref="H11:I11"/>
    <mergeCell ref="H12:I12"/>
    <mergeCell ref="L13:M14"/>
    <mergeCell ref="N13:N14"/>
    <mergeCell ref="F14:J14"/>
    <mergeCell ref="L7:M8"/>
    <mergeCell ref="N7:N8"/>
    <mergeCell ref="O13:O14"/>
    <mergeCell ref="C72:O87"/>
    <mergeCell ref="H23:I23"/>
    <mergeCell ref="H24:I24"/>
    <mergeCell ref="L19:M19"/>
    <mergeCell ref="L22:O22"/>
    <mergeCell ref="L23:O23"/>
    <mergeCell ref="F20:J20"/>
    <mergeCell ref="C49:O49"/>
    <mergeCell ref="C27:G27"/>
  </mergeCells>
  <conditionalFormatting sqref="D51:O65">
    <cfRule type="expression" dxfId="17" priority="2">
      <formula>D51=9999999</formula>
    </cfRule>
  </conditionalFormatting>
  <conditionalFormatting sqref="D67:O70">
    <cfRule type="expression" dxfId="16" priority="1">
      <formula>D67=9999999</formula>
    </cfRule>
  </conditionalFormatting>
  <dataValidations count="10">
    <dataValidation type="whole" operator="greaterThanOrEqual" allowBlank="1" showInputMessage="1" showErrorMessage="1" errorTitle="Demurrage and Detention freetime" error="This number should be equal or greater than standart freetime." promptTitle="Demurrage and Detention freetime" prompt="This number should be equal or greater than standart freetime." sqref="J23 J17" xr:uid="{9CCE0353-2140-4BF9-99ED-54054631B540}">
      <formula1>C40</formula1>
    </dataValidation>
    <dataValidation type="whole" operator="greaterThanOrEqual" allowBlank="1" showInputMessage="1" showErrorMessage="1" errorTitle="Storage Freetime" error="This number should be equal or greater than standart freetime." promptTitle="Storage Freetime" prompt="This number should be equal or greater than standart freetime." sqref="J11" xr:uid="{F8C7C7EA-E4CF-4F5B-BCAF-03BD31F840CD}">
      <formula1>C34</formula1>
    </dataValidation>
    <dataValidation type="date" allowBlank="1" showErrorMessage="1" error="Please check if the date is correct !! " prompt="Please enter a valid date value !!" sqref="G21 G15" xr:uid="{5B249ED3-4101-4CD1-8B07-7AD918340FBC}">
      <formula1>1</formula1>
      <formula2>73051</formula2>
    </dataValidation>
    <dataValidation allowBlank="1" showErrorMessage="1" error="Please check if the date is correct !! " prompt="Please enter a valid date value !!" sqref="G16" xr:uid="{8B18D7DD-5459-4060-AEC0-C36DF4FAB288}"/>
    <dataValidation type="whole" errorStyle="warning" operator="greaterThan" showInputMessage="1" showErrorMessage="1" errorTitle="Date Error" error="Please chose the dates correctly !" sqref="G11" xr:uid="{B19A3BF5-F1FF-462D-A0FF-F6AC67C9A4DB}">
      <formula1>0</formula1>
    </dataValidation>
    <dataValidation type="list" operator="greaterThanOrEqual" allowBlank="1" showErrorMessage="1" error="Please check if the date is correct !! " prompt="Please enter a valid date value !!" sqref="G22 G10" xr:uid="{219A07C8-F3BB-4ADC-8DD0-A1AD070199FA}">
      <formula1>$V$10:$V$740</formula1>
    </dataValidation>
    <dataValidation type="list" allowBlank="1" showErrorMessage="1" error="Please check if the date is correct !! " prompt="Please enter a valid date value !!" sqref="G9" xr:uid="{F145EA90-2EDA-4F17-A35C-06C13E081894}">
      <formula1>$V$10:$V$740</formula1>
    </dataValidation>
    <dataValidation type="whole" operator="greaterThanOrEqual" allowBlank="1" showErrorMessage="1" errorTitle="Storage Freetime" error="This number should be equal or greater than standart freetime." promptTitle="Storage Freetime" prompt="This number should be equal or greater than standart freetime." sqref="J18 J12 J24" xr:uid="{89E91917-EAC2-4B54-A2B3-FAE071F026AC}">
      <formula1>C35</formula1>
    </dataValidation>
    <dataValidation type="list" allowBlank="1" showInputMessage="1" showErrorMessage="1" sqref="D8:D10" xr:uid="{26AB42FA-4550-421E-9991-16C6C0DD668D}">
      <formula1>$X$10:$X$21</formula1>
    </dataValidation>
    <dataValidation type="list" allowBlank="1" showInputMessage="1" showErrorMessage="1" sqref="D11:D13" xr:uid="{12471B87-1BEE-4484-8EB4-0A6499721DC5}">
      <formula1>$W$10:$W$14</formula1>
    </dataValidation>
  </dataValidations>
  <hyperlinks>
    <hyperlink ref="C27" r:id="rId1" display="** https://www.hapag-lloyd.com/en/online-business/book/additional-freetime.html" xr:uid="{59204355-66A0-459E-B6C7-0FB2763BED67}"/>
    <hyperlink ref="L23" r:id="rId2" location="/dashboard" display="https://solutions.hapag-lloyd.com/navigator/#/dashboard" xr:uid="{45C56210-15F4-4B8D-A6FF-8E0DCD518739}"/>
  </hyperlinks>
  <pageMargins left="0.7" right="0.7" top="0.75" bottom="0.75" header="0.3" footer="0.3"/>
  <pageSetup orientation="portrait" r:id="rId3"/>
  <ignoredErrors>
    <ignoredError sqref="J17:J18 J23:J24 J11:J12" unlockedFormula="1"/>
  </ignoredErrors>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Main</vt:lpstr>
      <vt:lpstr>Sheet1</vt:lpstr>
      <vt:lpstr>DD Calculator Europe</vt:lpstr>
      <vt:lpstr>Tariffs</vt:lpstr>
      <vt:lpstr>DD Calculator (Morocco)</vt:lpstr>
      <vt:lpstr>ADFT Tariffs</vt:lpstr>
      <vt:lpstr>Storage Tariffs (Morocco)</vt:lpstr>
      <vt:lpstr>DD Calculator Italy-East Hemis.</vt:lpstr>
      <vt:lpstr>DD Calculator Italy-West Hemis.</vt:lpstr>
      <vt:lpstr>DD Calculator(Iberia)</vt:lpstr>
      <vt:lpstr>DD Calculator (Egypt)</vt:lpstr>
      <vt:lpstr>Storage Tariffs (East)</vt:lpstr>
      <vt:lpstr>Storage Tariffs (West)</vt:lpstr>
      <vt:lpstr>Storage Tariffs (Iberia)</vt:lpstr>
      <vt:lpstr>FALSE_Egypt</vt:lpstr>
      <vt:lpstr>FALSE_Europe</vt:lpstr>
      <vt:lpstr>FALSE_Iberia</vt:lpstr>
      <vt:lpstr>FALSE_ItalyEast</vt:lpstr>
      <vt:lpstr>FALSE_ItalyWest</vt:lpstr>
      <vt:lpstr>FALSE_Morocco</vt:lpstr>
      <vt:lpstr>TRUE_Egypt</vt:lpstr>
      <vt:lpstr>TRUE_Europe</vt:lpstr>
      <vt:lpstr>TRUE_Iberia</vt:lpstr>
      <vt:lpstr>TRUE_ItalyEast</vt:lpstr>
      <vt:lpstr>TRUE_ItalyWest</vt:lpstr>
      <vt:lpstr>TRUE_Morocco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Semih Orçen</dc:creator>
  <cp:lastModifiedBy>Orcen, Semih</cp:lastModifiedBy>
  <cp:lastPrinted>2022-07-29T11:41:35Z</cp:lastPrinted>
  <dcterms:created xsi:type="dcterms:W3CDTF">2022-03-18T22:40:05Z</dcterms:created>
  <dcterms:modified xsi:type="dcterms:W3CDTF">2023-11-03T14:04:29Z</dcterms:modified>
</cp:coreProperties>
</file>